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autoCompressPictures="0" defaultThemeVersion="124226"/>
  <mc:AlternateContent xmlns:mc="http://schemas.openxmlformats.org/markup-compatibility/2006">
    <mc:Choice Requires="x15">
      <x15ac:absPath xmlns:x15ac="http://schemas.microsoft.com/office/spreadsheetml/2010/11/ac" url="C:\Users\ocotes-pasante\Downloads\"/>
    </mc:Choice>
  </mc:AlternateContent>
  <xr:revisionPtr revIDLastSave="0" documentId="13_ncr:1_{1B484C10-066D-4F13-B9F8-AF941AC2906A}" xr6:coauthVersionLast="47" xr6:coauthVersionMax="47" xr10:uidLastSave="{00000000-0000-0000-0000-000000000000}"/>
  <bookViews>
    <workbookView xWindow="-120" yWindow="-120" windowWidth="29040" windowHeight="15720" tabRatio="825" firstSheet="2" activeTab="2" xr2:uid="{00000000-000D-0000-FFFF-FFFF00000000}"/>
  </bookViews>
  <sheets>
    <sheet name="Orientaciones Grales." sheetId="2" r:id="rId1"/>
    <sheet name="Parámetros" sheetId="6" r:id="rId2"/>
    <sheet name="Priorización Procesos" sheetId="8" r:id="rId3"/>
    <sheet name="Priorización Proyectos" sheetId="9" r:id="rId4"/>
    <sheet name="Priorización Patrimonio Aut" sheetId="10" r:id="rId5"/>
    <sheet name="Priorización Tramites" sheetId="16" r:id="rId6"/>
    <sheet name="Priorización Final" sheetId="12" r:id="rId7"/>
    <sheet name="Procesos A Auditar Vs Recursos" sheetId="4" state="hidden" r:id="rId8"/>
    <sheet name="Seguimiento Programa Anual" sheetId="5" state="hidden" r:id="rId9"/>
  </sheets>
  <definedNames>
    <definedName name="_xlnm._FilterDatabase" localSheetId="4" hidden="1">'Priorización Patrimonio Aut'!$A$6:$R$6</definedName>
    <definedName name="_xlnm._FilterDatabase" localSheetId="2" hidden="1">'Priorización Procesos'!$B$7:$AB$34</definedName>
    <definedName name="_xlnm._FilterDatabase" localSheetId="3" hidden="1">'Priorización Proyectos'!$B$6:$O$20</definedName>
    <definedName name="_xlnm._FilterDatabase" localSheetId="5" hidden="1">'Priorización Tramites'!$B$6:$Q$30</definedName>
    <definedName name="Ciclo_Rotación_Calif">Parámetros!$C$62:$C$66</definedName>
    <definedName name="Ciclo_Rotación_Def">Parámetros!$B$62:$B$66</definedName>
    <definedName name="Impacto_Obj_Est_Calif">Parámetros!$C$30:$C$34</definedName>
    <definedName name="Impacto_Obj_Est_Def">Parámetros!$B$30:$B$34</definedName>
    <definedName name="Impacto_Ppto_Calif">Parámetros!$E$45:$E$49</definedName>
    <definedName name="Impacto_Ppto_Def">Parámetros!$B$45:$B$49</definedName>
    <definedName name="Nivel_Criticidad">Parámetros!$E$54:$G$58</definedName>
    <definedName name="Nivel_Directivo_Calif">Parámetros!$C$22:$C$26</definedName>
    <definedName name="Nivel_Directivo_Def">Parámetros!$B$22:$B$26</definedName>
    <definedName name="Nivel_Directivo_Def_PQR">Parámetros!$D$22:$D$26</definedName>
    <definedName name="Result_Aud_Ant_Calif">Parámetros!$C$37:$C$41</definedName>
    <definedName name="Result_Aud_Ant_Def">Parámetros!$B$37:$B$41</definedName>
    <definedName name="Tiempo_Ult_Aud_Calif">Parámetros!$E$14:$E$18</definedName>
    <definedName name="Tiempo_Ult_Aud_Def">Parámetros!$B$14:$B$18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2" l="1"/>
  <c r="D19" i="12"/>
  <c r="D18" i="12"/>
  <c r="D17" i="12"/>
  <c r="D16" i="12"/>
  <c r="D15" i="12"/>
  <c r="D14" i="12"/>
  <c r="D13" i="12"/>
  <c r="D12" i="12"/>
  <c r="D11" i="12"/>
  <c r="D10" i="12"/>
  <c r="D9" i="12"/>
  <c r="D8" i="12"/>
  <c r="D7" i="12"/>
  <c r="I29" i="16"/>
  <c r="G29" i="16"/>
  <c r="E29" i="16"/>
  <c r="I26" i="16"/>
  <c r="G26" i="16"/>
  <c r="E26" i="16"/>
  <c r="I25" i="16"/>
  <c r="G25" i="16"/>
  <c r="E25" i="16"/>
  <c r="I23" i="16"/>
  <c r="G23" i="16"/>
  <c r="E23" i="16"/>
  <c r="I22" i="16"/>
  <c r="G22" i="16"/>
  <c r="E22" i="16"/>
  <c r="I16" i="16"/>
  <c r="G16" i="16"/>
  <c r="E16" i="16"/>
  <c r="I15" i="16"/>
  <c r="G15" i="16"/>
  <c r="E15" i="16"/>
  <c r="I14" i="16"/>
  <c r="G14" i="16"/>
  <c r="E14" i="16"/>
  <c r="J29" i="16" l="1"/>
  <c r="K29" i="16" s="1"/>
  <c r="L29" i="16" s="1"/>
  <c r="P29" i="16" s="1"/>
  <c r="J26" i="16"/>
  <c r="K26" i="16" s="1"/>
  <c r="L26" i="16" s="1"/>
  <c r="N26" i="16" s="1"/>
  <c r="J25" i="16"/>
  <c r="K25" i="16" s="1"/>
  <c r="L25" i="16" s="1"/>
  <c r="P25" i="16" s="1"/>
  <c r="J23" i="16"/>
  <c r="K23" i="16" s="1"/>
  <c r="L23" i="16" s="1"/>
  <c r="P23" i="16" s="1"/>
  <c r="J16" i="16"/>
  <c r="K16" i="16" s="1"/>
  <c r="L16" i="16" s="1"/>
  <c r="N16" i="16" s="1"/>
  <c r="J22" i="16"/>
  <c r="K22" i="16" s="1"/>
  <c r="L22" i="16" s="1"/>
  <c r="P22" i="16" s="1"/>
  <c r="J15" i="16"/>
  <c r="K15" i="16" s="1"/>
  <c r="L15" i="16" s="1"/>
  <c r="P15" i="16" s="1"/>
  <c r="J14" i="16"/>
  <c r="K14" i="16" s="1"/>
  <c r="L14" i="16" s="1"/>
  <c r="P14" i="16" s="1"/>
  <c r="M29" i="16" l="1"/>
  <c r="N29" i="16"/>
  <c r="O29" i="16"/>
  <c r="N25" i="16"/>
  <c r="O26" i="16"/>
  <c r="P26" i="16"/>
  <c r="M25" i="16"/>
  <c r="O25" i="16"/>
  <c r="M26" i="16"/>
  <c r="M23" i="16"/>
  <c r="O23" i="16"/>
  <c r="N23" i="16"/>
  <c r="O16" i="16"/>
  <c r="P16" i="16"/>
  <c r="M16" i="16"/>
  <c r="M22" i="16"/>
  <c r="O22" i="16"/>
  <c r="N22" i="16"/>
  <c r="N15" i="16"/>
  <c r="O15" i="16"/>
  <c r="M15" i="16"/>
  <c r="O14" i="16"/>
  <c r="M14" i="16"/>
  <c r="N14" i="16"/>
  <c r="I13" i="16" l="1"/>
  <c r="G13" i="16"/>
  <c r="E13" i="16"/>
  <c r="I12" i="16"/>
  <c r="G12" i="16"/>
  <c r="E12" i="16"/>
  <c r="G30" i="16"/>
  <c r="G28" i="16"/>
  <c r="G27" i="16"/>
  <c r="G24" i="16"/>
  <c r="G21" i="16"/>
  <c r="G11" i="16"/>
  <c r="G20" i="16"/>
  <c r="G19" i="16"/>
  <c r="G18" i="16"/>
  <c r="G17" i="16"/>
  <c r="G10" i="16"/>
  <c r="G9" i="16"/>
  <c r="I8" i="16"/>
  <c r="G8" i="16"/>
  <c r="E8" i="16"/>
  <c r="G7" i="16"/>
  <c r="J12" i="16" l="1"/>
  <c r="K12" i="16" s="1"/>
  <c r="L12" i="16" s="1"/>
  <c r="M12" i="16" s="1"/>
  <c r="J13" i="16"/>
  <c r="K13" i="16" s="1"/>
  <c r="L13" i="16" s="1"/>
  <c r="P13" i="16" s="1"/>
  <c r="J8" i="16"/>
  <c r="K8" i="16" s="1"/>
  <c r="L8" i="16" s="1"/>
  <c r="P8" i="16" s="1"/>
  <c r="N12" i="16" l="1"/>
  <c r="O12" i="16"/>
  <c r="P12" i="16"/>
  <c r="N13" i="16"/>
  <c r="M13" i="16"/>
  <c r="O13" i="16"/>
  <c r="N8" i="16"/>
  <c r="O8" i="16"/>
  <c r="M8" i="16"/>
  <c r="D6" i="12" l="1"/>
  <c r="D5" i="12"/>
  <c r="D4" i="12"/>
  <c r="F109" i="6"/>
  <c r="G111" i="6" s="1"/>
  <c r="C113" i="6"/>
  <c r="C112" i="6"/>
  <c r="C111" i="6"/>
  <c r="C110" i="6"/>
  <c r="F112" i="6" l="1"/>
  <c r="F113" i="6"/>
  <c r="F111" i="6"/>
  <c r="G110" i="6"/>
  <c r="G114" i="6"/>
  <c r="G113" i="6"/>
  <c r="F110" i="6"/>
  <c r="G112" i="6"/>
  <c r="F114" i="6"/>
  <c r="C103" i="6" l="1"/>
  <c r="C98" i="6"/>
  <c r="F76" i="6"/>
  <c r="I30" i="16"/>
  <c r="I28" i="16"/>
  <c r="I27" i="16"/>
  <c r="I24" i="16"/>
  <c r="I21" i="16"/>
  <c r="I11" i="16"/>
  <c r="I20" i="16"/>
  <c r="I19" i="16"/>
  <c r="I18" i="16"/>
  <c r="I17" i="16"/>
  <c r="I10" i="16"/>
  <c r="I9" i="16"/>
  <c r="I7" i="16"/>
  <c r="E20" i="16"/>
  <c r="E19" i="16"/>
  <c r="E18" i="16"/>
  <c r="E17" i="16"/>
  <c r="E10" i="16"/>
  <c r="E30" i="16"/>
  <c r="E28" i="16"/>
  <c r="E27" i="16"/>
  <c r="E24" i="16"/>
  <c r="E21" i="16"/>
  <c r="E11" i="16"/>
  <c r="E9" i="16"/>
  <c r="J20" i="16" l="1"/>
  <c r="J17" i="16"/>
  <c r="J10" i="16"/>
  <c r="J9" i="16"/>
  <c r="J27" i="16"/>
  <c r="E19" i="12" s="1"/>
  <c r="J24" i="16"/>
  <c r="E20" i="12" s="1"/>
  <c r="J28" i="16"/>
  <c r="E17" i="12" s="1"/>
  <c r="J18" i="16"/>
  <c r="J11" i="16"/>
  <c r="J21" i="16"/>
  <c r="E18" i="12" s="1"/>
  <c r="J30" i="16"/>
  <c r="J19" i="16"/>
  <c r="D44" i="8"/>
  <c r="E88" i="6" l="1"/>
  <c r="F78" i="6"/>
  <c r="F23" i="8" l="1"/>
  <c r="F22" i="8"/>
  <c r="F33" i="8" l="1"/>
  <c r="I33" i="8" s="1"/>
  <c r="H33" i="8"/>
  <c r="J33" i="8"/>
  <c r="L33" i="8"/>
  <c r="N33" i="8"/>
  <c r="P33" i="8"/>
  <c r="R33" i="8"/>
  <c r="T33" i="8"/>
  <c r="U33" i="8" l="1"/>
  <c r="G12" i="9" l="1"/>
  <c r="E7" i="16" l="1"/>
  <c r="J7" i="16" l="1"/>
  <c r="T32" i="8"/>
  <c r="R32" i="8"/>
  <c r="P32" i="8"/>
  <c r="N32" i="8"/>
  <c r="L32" i="8"/>
  <c r="J32" i="8"/>
  <c r="H32" i="8"/>
  <c r="I32" i="8" s="1"/>
  <c r="T25" i="8"/>
  <c r="R25" i="8"/>
  <c r="P25" i="8"/>
  <c r="N25" i="8"/>
  <c r="L25" i="8"/>
  <c r="H25" i="8"/>
  <c r="I25" i="8" s="1"/>
  <c r="T24" i="8"/>
  <c r="R24" i="8"/>
  <c r="P24" i="8"/>
  <c r="N24" i="8"/>
  <c r="L24" i="8"/>
  <c r="H24" i="8"/>
  <c r="I24" i="8" s="1"/>
  <c r="T23" i="8"/>
  <c r="R23" i="8"/>
  <c r="P23" i="8"/>
  <c r="N23" i="8"/>
  <c r="L23" i="8"/>
  <c r="H23" i="8"/>
  <c r="J23" i="8" s="1"/>
  <c r="T22" i="8"/>
  <c r="R22" i="8"/>
  <c r="P22" i="8"/>
  <c r="N22" i="8"/>
  <c r="L22" i="8"/>
  <c r="H22" i="8"/>
  <c r="J22" i="8" s="1"/>
  <c r="T21" i="8"/>
  <c r="R21" i="8"/>
  <c r="P21" i="8"/>
  <c r="N21" i="8"/>
  <c r="L21" i="8"/>
  <c r="I21" i="8"/>
  <c r="H21" i="8"/>
  <c r="J21" i="8" s="1"/>
  <c r="T20" i="8"/>
  <c r="R20" i="8"/>
  <c r="P20" i="8"/>
  <c r="N20" i="8"/>
  <c r="L20" i="8"/>
  <c r="H20" i="8"/>
  <c r="I20" i="8" s="1"/>
  <c r="T28" i="8"/>
  <c r="R28" i="8"/>
  <c r="P28" i="8"/>
  <c r="N28" i="8"/>
  <c r="L28" i="8"/>
  <c r="H28" i="8"/>
  <c r="J28" i="8" s="1"/>
  <c r="T27" i="8"/>
  <c r="R27" i="8"/>
  <c r="P27" i="8"/>
  <c r="N27" i="8"/>
  <c r="L27" i="8"/>
  <c r="H27" i="8"/>
  <c r="I27" i="8" s="1"/>
  <c r="T26" i="8"/>
  <c r="R26" i="8"/>
  <c r="P26" i="8"/>
  <c r="N26" i="8"/>
  <c r="L26" i="8"/>
  <c r="H26" i="8"/>
  <c r="I26" i="8" s="1"/>
  <c r="U32" i="8" l="1"/>
  <c r="U23" i="8"/>
  <c r="E5" i="12" s="1"/>
  <c r="U22" i="8"/>
  <c r="U21" i="8"/>
  <c r="U28" i="8"/>
  <c r="J20" i="8"/>
  <c r="U20" i="8" s="1"/>
  <c r="E4" i="12" s="1"/>
  <c r="J25" i="8"/>
  <c r="U25" i="8" s="1"/>
  <c r="I23" i="8"/>
  <c r="J24" i="8"/>
  <c r="U24" i="8" s="1"/>
  <c r="E6" i="12" s="1"/>
  <c r="I22" i="8"/>
  <c r="J26" i="8"/>
  <c r="U26" i="8" s="1"/>
  <c r="J27" i="8"/>
  <c r="U27" i="8" s="1"/>
  <c r="I28" i="8"/>
  <c r="G19" i="9" l="1"/>
  <c r="E19" i="9"/>
  <c r="C82" i="6"/>
  <c r="C81" i="6"/>
  <c r="C80" i="6"/>
  <c r="C79" i="6"/>
  <c r="F79" i="6" l="1"/>
  <c r="G81" i="6"/>
  <c r="G82" i="6"/>
  <c r="G79" i="6"/>
  <c r="G80" i="6"/>
  <c r="G83" i="6"/>
  <c r="F83" i="6"/>
  <c r="F81" i="6"/>
  <c r="F80" i="6"/>
  <c r="F82" i="6"/>
  <c r="H19" i="9"/>
  <c r="P34" i="8" l="1"/>
  <c r="P31" i="8"/>
  <c r="P30" i="8"/>
  <c r="P29" i="8"/>
  <c r="P19" i="8"/>
  <c r="P18" i="8"/>
  <c r="P17" i="8"/>
  <c r="P16" i="8"/>
  <c r="P15" i="8"/>
  <c r="P14" i="8"/>
  <c r="P13" i="8"/>
  <c r="P12" i="8"/>
  <c r="P11" i="8"/>
  <c r="P10" i="8"/>
  <c r="P9" i="8"/>
  <c r="P8" i="8"/>
  <c r="F44" i="6"/>
  <c r="G9" i="10" l="1"/>
  <c r="E9" i="10"/>
  <c r="G8" i="10"/>
  <c r="E8" i="10"/>
  <c r="G7" i="10"/>
  <c r="E7" i="10"/>
  <c r="H8" i="10" l="1"/>
  <c r="E16" i="12" s="1"/>
  <c r="H7" i="10"/>
  <c r="E14" i="12" s="1"/>
  <c r="H9" i="10"/>
  <c r="E15" i="12" s="1"/>
  <c r="G20" i="9" l="1"/>
  <c r="E20" i="9"/>
  <c r="G18" i="9"/>
  <c r="E18" i="9"/>
  <c r="G17" i="9"/>
  <c r="E17" i="9"/>
  <c r="G16" i="9"/>
  <c r="E16" i="9"/>
  <c r="G15" i="9"/>
  <c r="E15" i="9"/>
  <c r="G14" i="9"/>
  <c r="E14" i="9"/>
  <c r="G13" i="9"/>
  <c r="E13" i="9"/>
  <c r="E12" i="9"/>
  <c r="H12" i="9" s="1"/>
  <c r="E7" i="12" s="1"/>
  <c r="G11" i="9"/>
  <c r="E11" i="9"/>
  <c r="G10" i="9"/>
  <c r="E10" i="9"/>
  <c r="G9" i="9"/>
  <c r="E9" i="9"/>
  <c r="G8" i="9"/>
  <c r="E8" i="9"/>
  <c r="G7" i="9"/>
  <c r="E7" i="9"/>
  <c r="L8" i="8"/>
  <c r="H18" i="9" l="1"/>
  <c r="E12" i="12" s="1"/>
  <c r="H20" i="9"/>
  <c r="E13" i="12" s="1"/>
  <c r="H17" i="9"/>
  <c r="E11" i="12" s="1"/>
  <c r="H16" i="9"/>
  <c r="H15" i="9"/>
  <c r="H14" i="9"/>
  <c r="E10" i="12" s="1"/>
  <c r="H13" i="9"/>
  <c r="H11" i="9"/>
  <c r="E9" i="12" s="1"/>
  <c r="H10" i="9"/>
  <c r="H9" i="9"/>
  <c r="E8" i="12" s="1"/>
  <c r="H8" i="9"/>
  <c r="H7" i="9"/>
  <c r="N34" i="8" l="1"/>
  <c r="N31" i="8"/>
  <c r="N30" i="8"/>
  <c r="N29" i="8"/>
  <c r="N19" i="8"/>
  <c r="N18" i="8"/>
  <c r="N17" i="8"/>
  <c r="N16" i="8"/>
  <c r="N15" i="8"/>
  <c r="N14" i="8"/>
  <c r="N13" i="8"/>
  <c r="N12" i="8"/>
  <c r="N11" i="8"/>
  <c r="N10" i="8"/>
  <c r="N9" i="8"/>
  <c r="N8" i="8"/>
  <c r="T34" i="8"/>
  <c r="R34" i="8"/>
  <c r="L34" i="8"/>
  <c r="H34" i="8"/>
  <c r="J34" i="8" s="1"/>
  <c r="T31" i="8"/>
  <c r="R31" i="8"/>
  <c r="L31" i="8"/>
  <c r="H31" i="8"/>
  <c r="I31" i="8" s="1"/>
  <c r="T30" i="8"/>
  <c r="R30" i="8"/>
  <c r="L30" i="8"/>
  <c r="H30" i="8"/>
  <c r="J30" i="8" s="1"/>
  <c r="T29" i="8"/>
  <c r="R29" i="8"/>
  <c r="L29" i="8"/>
  <c r="H29" i="8"/>
  <c r="I29" i="8" s="1"/>
  <c r="T19" i="8"/>
  <c r="R19" i="8"/>
  <c r="L19" i="8"/>
  <c r="H19" i="8"/>
  <c r="J19" i="8" s="1"/>
  <c r="T18" i="8"/>
  <c r="R18" i="8"/>
  <c r="L18" i="8"/>
  <c r="H18" i="8"/>
  <c r="J18" i="8" s="1"/>
  <c r="T17" i="8"/>
  <c r="R17" i="8"/>
  <c r="L17" i="8"/>
  <c r="H17" i="8"/>
  <c r="J17" i="8" s="1"/>
  <c r="T16" i="8"/>
  <c r="R16" i="8"/>
  <c r="L16" i="8"/>
  <c r="H16" i="8"/>
  <c r="J16" i="8" s="1"/>
  <c r="T15" i="8"/>
  <c r="R15" i="8"/>
  <c r="L15" i="8"/>
  <c r="H15" i="8"/>
  <c r="J15" i="8" s="1"/>
  <c r="T14" i="8"/>
  <c r="R14" i="8"/>
  <c r="L14" i="8"/>
  <c r="H14" i="8"/>
  <c r="J14" i="8" s="1"/>
  <c r="T13" i="8"/>
  <c r="R13" i="8"/>
  <c r="L13" i="8"/>
  <c r="H13" i="8"/>
  <c r="J13" i="8" s="1"/>
  <c r="T12" i="8"/>
  <c r="R12" i="8"/>
  <c r="L12" i="8"/>
  <c r="H12" i="8"/>
  <c r="I12" i="8" s="1"/>
  <c r="T11" i="8"/>
  <c r="R11" i="8"/>
  <c r="L11" i="8"/>
  <c r="H11" i="8"/>
  <c r="J11" i="8" s="1"/>
  <c r="T10" i="8"/>
  <c r="R10" i="8"/>
  <c r="L10" i="8"/>
  <c r="H10" i="8"/>
  <c r="J10" i="8" s="1"/>
  <c r="T9" i="8"/>
  <c r="R9" i="8"/>
  <c r="L9" i="8"/>
  <c r="H9" i="8"/>
  <c r="J9" i="8" s="1"/>
  <c r="T8" i="8"/>
  <c r="R8" i="8"/>
  <c r="H8" i="8"/>
  <c r="J8" i="8" s="1"/>
  <c r="U15" i="8" l="1"/>
  <c r="I15" i="8"/>
  <c r="U13" i="8"/>
  <c r="U14" i="8"/>
  <c r="U11" i="8"/>
  <c r="U17" i="8"/>
  <c r="U19" i="8"/>
  <c r="U30" i="8"/>
  <c r="U34" i="8"/>
  <c r="U10" i="8"/>
  <c r="U16" i="8"/>
  <c r="U8" i="8"/>
  <c r="U18" i="8"/>
  <c r="U9" i="8"/>
  <c r="I13" i="8"/>
  <c r="I9" i="8"/>
  <c r="I30" i="8"/>
  <c r="I11" i="8"/>
  <c r="I19" i="8"/>
  <c r="I8" i="8"/>
  <c r="I17" i="8"/>
  <c r="J31" i="8"/>
  <c r="U31" i="8" s="1"/>
  <c r="I16" i="8"/>
  <c r="J12" i="8"/>
  <c r="U12" i="8" s="1"/>
  <c r="J29" i="8"/>
  <c r="U29" i="8" s="1"/>
  <c r="I10" i="8"/>
  <c r="I18" i="8"/>
  <c r="I34" i="8"/>
  <c r="I14" i="8"/>
  <c r="E55" i="6" l="1"/>
  <c r="E57" i="6" l="1"/>
  <c r="E56" i="6"/>
  <c r="C18" i="6"/>
  <c r="C17" i="6"/>
  <c r="C16" i="6"/>
  <c r="C15" i="6"/>
  <c r="F49" i="6"/>
  <c r="C46" i="6"/>
  <c r="C45" i="6"/>
  <c r="F45" i="6" s="1"/>
  <c r="C48" i="6"/>
  <c r="C47" i="6"/>
  <c r="K9" i="16" l="1"/>
  <c r="L9" i="16" s="1"/>
  <c r="K17" i="16"/>
  <c r="L17" i="16" s="1"/>
  <c r="K24" i="16"/>
  <c r="K11" i="16"/>
  <c r="K28" i="16"/>
  <c r="K21" i="16"/>
  <c r="K10" i="16"/>
  <c r="L10" i="16" s="1"/>
  <c r="K30" i="16"/>
  <c r="L30" i="16" s="1"/>
  <c r="K19" i="16"/>
  <c r="L19" i="16" s="1"/>
  <c r="K27" i="16"/>
  <c r="K18" i="16"/>
  <c r="L18" i="16" s="1"/>
  <c r="K20" i="16"/>
  <c r="L20" i="16" s="1"/>
  <c r="V33" i="8"/>
  <c r="W33" i="8" s="1"/>
  <c r="K7" i="16"/>
  <c r="L7" i="16" s="1"/>
  <c r="V20" i="8"/>
  <c r="F4" i="12" s="1"/>
  <c r="V22" i="8"/>
  <c r="W22" i="8" s="1"/>
  <c r="V26" i="8"/>
  <c r="W26" i="8" s="1"/>
  <c r="V24" i="8"/>
  <c r="V28" i="8"/>
  <c r="W28" i="8" s="1"/>
  <c r="V27" i="8"/>
  <c r="W27" i="8" s="1"/>
  <c r="V25" i="8"/>
  <c r="W25" i="8" s="1"/>
  <c r="V23" i="8"/>
  <c r="F5" i="12" s="1"/>
  <c r="V32" i="8"/>
  <c r="W32" i="8" s="1"/>
  <c r="V21" i="8"/>
  <c r="W21" i="8" s="1"/>
  <c r="I19" i="9"/>
  <c r="J19" i="9" s="1"/>
  <c r="I9" i="10"/>
  <c r="F15" i="12" s="1"/>
  <c r="I7" i="10"/>
  <c r="I8" i="10"/>
  <c r="I18" i="9"/>
  <c r="I11" i="9"/>
  <c r="I12" i="9"/>
  <c r="I10" i="9"/>
  <c r="J10" i="9" s="1"/>
  <c r="I8" i="9"/>
  <c r="J8" i="9" s="1"/>
  <c r="I15" i="9"/>
  <c r="J15" i="9" s="1"/>
  <c r="I9" i="9"/>
  <c r="I16" i="9"/>
  <c r="J16" i="9" s="1"/>
  <c r="I13" i="9"/>
  <c r="J13" i="9" s="1"/>
  <c r="I7" i="9"/>
  <c r="J7" i="9" s="1"/>
  <c r="I14" i="9"/>
  <c r="I17" i="9"/>
  <c r="I20" i="9"/>
  <c r="V31" i="8"/>
  <c r="V10" i="8"/>
  <c r="W10" i="8" s="1"/>
  <c r="V19" i="8"/>
  <c r="W19" i="8" s="1"/>
  <c r="V17" i="8"/>
  <c r="W17" i="8" s="1"/>
  <c r="V11" i="8"/>
  <c r="W11" i="8" s="1"/>
  <c r="V8" i="8"/>
  <c r="W8" i="8" s="1"/>
  <c r="V12" i="8"/>
  <c r="W12" i="8" s="1"/>
  <c r="V34" i="8"/>
  <c r="W34" i="8" s="1"/>
  <c r="V30" i="8"/>
  <c r="W30" i="8" s="1"/>
  <c r="V9" i="8"/>
  <c r="W9" i="8" s="1"/>
  <c r="V14" i="8"/>
  <c r="W14" i="8" s="1"/>
  <c r="V29" i="8"/>
  <c r="W29" i="8" s="1"/>
  <c r="V13" i="8"/>
  <c r="W13" i="8" s="1"/>
  <c r="V18" i="8"/>
  <c r="W18" i="8" s="1"/>
  <c r="V16" i="8"/>
  <c r="W16" i="8" s="1"/>
  <c r="V15" i="8"/>
  <c r="W15" i="8" s="1"/>
  <c r="W31" i="8"/>
  <c r="F47" i="6"/>
  <c r="G49" i="6"/>
  <c r="G45" i="6"/>
  <c r="F46" i="6"/>
  <c r="G46" i="6"/>
  <c r="G47" i="6"/>
  <c r="F48" i="6"/>
  <c r="G48" i="6"/>
  <c r="J8" i="10" l="1"/>
  <c r="F16" i="12"/>
  <c r="J7" i="10"/>
  <c r="N7" i="10" s="1"/>
  <c r="F14" i="12"/>
  <c r="W24" i="8"/>
  <c r="AA24" i="8" s="1"/>
  <c r="F6" i="12"/>
  <c r="L21" i="16"/>
  <c r="P21" i="16" s="1"/>
  <c r="F18" i="12"/>
  <c r="L24" i="16"/>
  <c r="N24" i="16" s="1"/>
  <c r="F20" i="12"/>
  <c r="L27" i="16"/>
  <c r="O27" i="16" s="1"/>
  <c r="F19" i="12"/>
  <c r="L28" i="16"/>
  <c r="M28" i="16" s="1"/>
  <c r="F17" i="12"/>
  <c r="J18" i="9"/>
  <c r="K18" i="9" s="1"/>
  <c r="F12" i="12"/>
  <c r="J17" i="9"/>
  <c r="K17" i="9" s="1"/>
  <c r="F11" i="12"/>
  <c r="J14" i="9"/>
  <c r="M14" i="9" s="1"/>
  <c r="F10" i="12"/>
  <c r="J11" i="9"/>
  <c r="K11" i="9" s="1"/>
  <c r="F9" i="12"/>
  <c r="J20" i="9"/>
  <c r="M20" i="9" s="1"/>
  <c r="F13" i="12"/>
  <c r="J9" i="9"/>
  <c r="L9" i="9" s="1"/>
  <c r="F8" i="12"/>
  <c r="J12" i="9"/>
  <c r="N12" i="9" s="1"/>
  <c r="F7" i="12"/>
  <c r="L11" i="16"/>
  <c r="M11" i="16" s="1"/>
  <c r="M30" i="16"/>
  <c r="N30" i="16"/>
  <c r="O30" i="16"/>
  <c r="P30" i="16"/>
  <c r="M10" i="16"/>
  <c r="P10" i="16"/>
  <c r="N10" i="16"/>
  <c r="O10" i="16"/>
  <c r="O20" i="16"/>
  <c r="N20" i="16"/>
  <c r="P20" i="16"/>
  <c r="M20" i="16"/>
  <c r="M18" i="16"/>
  <c r="O18" i="16"/>
  <c r="N18" i="16"/>
  <c r="P18" i="16"/>
  <c r="J9" i="10"/>
  <c r="N9" i="10" s="1"/>
  <c r="N17" i="16"/>
  <c r="O17" i="16"/>
  <c r="P17" i="16"/>
  <c r="M17" i="16"/>
  <c r="P19" i="16"/>
  <c r="M19" i="16"/>
  <c r="O19" i="16"/>
  <c r="N19" i="16"/>
  <c r="O9" i="16"/>
  <c r="P9" i="16"/>
  <c r="M9" i="16"/>
  <c r="N9" i="16"/>
  <c r="W20" i="8"/>
  <c r="Z20" i="8" s="1"/>
  <c r="W23" i="8"/>
  <c r="AA23" i="8" s="1"/>
  <c r="N8" i="9"/>
  <c r="K8" i="9"/>
  <c r="L8" i="9"/>
  <c r="M8" i="9"/>
  <c r="N19" i="9"/>
  <c r="L19" i="9"/>
  <c r="M19" i="9"/>
  <c r="K19" i="9"/>
  <c r="Z26" i="8"/>
  <c r="AA26" i="8"/>
  <c r="X26" i="8"/>
  <c r="Y26" i="8"/>
  <c r="AA22" i="8"/>
  <c r="Y22" i="8"/>
  <c r="Z22" i="8"/>
  <c r="X22" i="8"/>
  <c r="M10" i="9"/>
  <c r="K10" i="9"/>
  <c r="L10" i="9"/>
  <c r="N10" i="9"/>
  <c r="L7" i="9"/>
  <c r="N7" i="9"/>
  <c r="M7" i="9"/>
  <c r="K7" i="9"/>
  <c r="AA25" i="8"/>
  <c r="Z25" i="8"/>
  <c r="Y25" i="8"/>
  <c r="X25" i="8"/>
  <c r="M17" i="9"/>
  <c r="L16" i="9"/>
  <c r="N16" i="9"/>
  <c r="K16" i="9"/>
  <c r="M16" i="9"/>
  <c r="N8" i="10"/>
  <c r="M8" i="10"/>
  <c r="L8" i="10"/>
  <c r="K8" i="10"/>
  <c r="AA27" i="8"/>
  <c r="Z27" i="8"/>
  <c r="X27" i="8"/>
  <c r="Y27" i="8"/>
  <c r="Z21" i="8"/>
  <c r="X21" i="8"/>
  <c r="AA21" i="8"/>
  <c r="Y21" i="8"/>
  <c r="X32" i="8"/>
  <c r="Y32" i="8"/>
  <c r="AA32" i="8"/>
  <c r="Z32" i="8"/>
  <c r="L13" i="9"/>
  <c r="K13" i="9"/>
  <c r="N13" i="9"/>
  <c r="M13" i="9"/>
  <c r="AA28" i="8"/>
  <c r="X28" i="8"/>
  <c r="Y28" i="8"/>
  <c r="Z28" i="8"/>
  <c r="N7" i="16"/>
  <c r="O7" i="16"/>
  <c r="P7" i="16"/>
  <c r="M7" i="16"/>
  <c r="K15" i="9"/>
  <c r="M15" i="9"/>
  <c r="N15" i="9"/>
  <c r="L15" i="9"/>
  <c r="AA33" i="8"/>
  <c r="X33" i="8"/>
  <c r="Z33" i="8"/>
  <c r="Y33" i="8"/>
  <c r="Z9" i="8"/>
  <c r="AA9" i="8"/>
  <c r="Y9" i="8"/>
  <c r="X9" i="8"/>
  <c r="Y14" i="8"/>
  <c r="X14" i="8"/>
  <c r="AA14" i="8"/>
  <c r="Z14" i="8"/>
  <c r="Z31" i="8"/>
  <c r="Y31" i="8"/>
  <c r="AA31" i="8"/>
  <c r="X31" i="8"/>
  <c r="Y8" i="8"/>
  <c r="Z8" i="8"/>
  <c r="X8" i="8"/>
  <c r="AA8" i="8"/>
  <c r="X17" i="8"/>
  <c r="Y17" i="8"/>
  <c r="Z17" i="8"/>
  <c r="AA17" i="8"/>
  <c r="Y12" i="8"/>
  <c r="X12" i="8"/>
  <c r="AA12" i="8"/>
  <c r="Z12" i="8"/>
  <c r="Y13" i="8"/>
  <c r="Z13" i="8"/>
  <c r="AA13" i="8"/>
  <c r="X13" i="8"/>
  <c r="AA34" i="8"/>
  <c r="Y34" i="8"/>
  <c r="X34" i="8"/>
  <c r="Z34" i="8"/>
  <c r="X16" i="8"/>
  <c r="Z16" i="8"/>
  <c r="AA16" i="8"/>
  <c r="Y16" i="8"/>
  <c r="AA30" i="8"/>
  <c r="Y30" i="8"/>
  <c r="Z30" i="8"/>
  <c r="X30" i="8"/>
  <c r="AA11" i="8"/>
  <c r="Y11" i="8"/>
  <c r="X11" i="8"/>
  <c r="Z11" i="8"/>
  <c r="X18" i="8"/>
  <c r="Y18" i="8"/>
  <c r="Z18" i="8"/>
  <c r="AA18" i="8"/>
  <c r="Z19" i="8"/>
  <c r="AA19" i="8"/>
  <c r="X19" i="8"/>
  <c r="Y19" i="8"/>
  <c r="Z29" i="8"/>
  <c r="X29" i="8"/>
  <c r="Y29" i="8"/>
  <c r="AA29" i="8"/>
  <c r="X15" i="8"/>
  <c r="AA15" i="8"/>
  <c r="Y15" i="8"/>
  <c r="Z15" i="8"/>
  <c r="Y10" i="8"/>
  <c r="Z10" i="8"/>
  <c r="X10" i="8"/>
  <c r="AA10" i="8"/>
  <c r="E15" i="5"/>
  <c r="E17" i="5" s="1"/>
  <c r="E14" i="4"/>
  <c r="M24" i="16" l="1"/>
  <c r="N20" i="9"/>
  <c r="M27" i="16"/>
  <c r="N27" i="16"/>
  <c r="P27" i="16"/>
  <c r="O24" i="16"/>
  <c r="N21" i="16"/>
  <c r="O21" i="16"/>
  <c r="M21" i="16"/>
  <c r="K9" i="10"/>
  <c r="L9" i="10"/>
  <c r="K7" i="10"/>
  <c r="L7" i="10"/>
  <c r="M7" i="10"/>
  <c r="L20" i="9"/>
  <c r="K20" i="9"/>
  <c r="N18" i="9"/>
  <c r="M18" i="9"/>
  <c r="L18" i="9"/>
  <c r="K14" i="9"/>
  <c r="M11" i="9"/>
  <c r="N11" i="9"/>
  <c r="L11" i="9"/>
  <c r="N9" i="9"/>
  <c r="X24" i="8"/>
  <c r="Y24" i="8"/>
  <c r="Z24" i="8"/>
  <c r="K9" i="9"/>
  <c r="M9" i="9"/>
  <c r="N17" i="9"/>
  <c r="L17" i="9"/>
  <c r="P24" i="16"/>
  <c r="P28" i="16"/>
  <c r="O28" i="16"/>
  <c r="N28" i="16"/>
  <c r="N11" i="16"/>
  <c r="P11" i="16"/>
  <c r="O11" i="16"/>
  <c r="L12" i="9"/>
  <c r="K12" i="9"/>
  <c r="M12" i="9"/>
  <c r="N14" i="9"/>
  <c r="L14" i="9"/>
  <c r="Y23" i="8"/>
  <c r="X20" i="8"/>
  <c r="AA20" i="8"/>
  <c r="Z23" i="8"/>
  <c r="Y20" i="8"/>
  <c r="M9" i="10"/>
  <c r="X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DORLEY ENRIQUE LEON LOPEZ</author>
  </authors>
  <commentList>
    <comment ref="C3" authorId="0" shapeId="0" xr:uid="{42A4B1F4-A36C-4B52-9489-6CB624385E27}">
      <text>
        <r>
          <rPr>
            <sz val="9"/>
            <color indexed="81"/>
            <rFont val="Tahoma"/>
            <family val="2"/>
          </rPr>
          <t>Diligenciar esta casilla con el presupuesto de gastos de la entidad.</t>
        </r>
      </text>
    </comment>
  </commentList>
</comments>
</file>

<file path=xl/sharedStrings.xml><?xml version="1.0" encoding="utf-8"?>
<sst xmlns="http://schemas.openxmlformats.org/spreadsheetml/2006/main" count="629" uniqueCount="264">
  <si>
    <t>CUIDADO! SOLO LAS CELDAS QUE APARECEN CON ESTE COLOR DE RELLENO PUEDEN SER EDITADAS</t>
  </si>
  <si>
    <t>HOJA "PARÁMETROS"</t>
  </si>
  <si>
    <t>En la hoja "Parámetros" aparecen los criterios, rangos de calificación y demás aspectos tenidos en cuenta para cada variable de priorización que aparece en las hojas de Priorización A o B, que sirven de base para las listas desplegables y fórmulas de cálculo.</t>
  </si>
  <si>
    <r>
      <t xml:space="preserve">
</t>
    </r>
    <r>
      <rPr>
        <b/>
        <sz val="10"/>
        <rFont val="Verdana"/>
        <family val="2"/>
      </rPr>
      <t>PRIORIZACIÓN A / PRIORIZACIÓN B</t>
    </r>
    <r>
      <rPr>
        <b/>
        <sz val="10"/>
        <color rgb="FF0070C0"/>
        <rFont val="Verdana"/>
        <family val="2"/>
      </rPr>
      <t xml:space="preserve">
</t>
    </r>
  </si>
  <si>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</si>
  <si>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 xml:space="preserve">
Requerimientos del Comité de Control Interno, Alta Dirección o entes reguladores (Informes de ley)
</t>
  </si>
  <si>
    <t>Los requerimientos de la alta dirección o requerimientos regulatorios, no deben ser diligenciados en la Matriz de Priorización del Universo de Auditoría, por cuanto es obligatoria su inclusión en el Plan Anual de Auditoría de cada año.</t>
  </si>
  <si>
    <t>Porcentajes de cada variable de priorización</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</si>
  <si>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corrijan los porcentajes.</t>
  </si>
  <si>
    <t>Explicaciones Para realizar la ponderación de Riesgos.</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</si>
  <si>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</si>
  <si>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Tiempo transcurrido desde la última auditoría</t>
  </si>
  <si>
    <t>Solo se debe seleccionar de la lista desplegable la cantidad de años transcurridos desde la última auditoría a cada aspecto evaluable o temática registrada.</t>
  </si>
  <si>
    <t>Temas de interés de la alta Dirección o el Comité de Coordinación de Control Interno</t>
  </si>
  <si>
    <t>Casilla desplegable que permite seleccionar la cantidad de veces que esa temática es objeto de seguimiento en los Comités de Coordinación de Control Interno o Comités Directivos, conforme aparece en la hoja "Parámetros".</t>
  </si>
  <si>
    <t>Cantidad de PQR</t>
  </si>
  <si>
    <t>Casilla desplegable que permite seleccionar la cantidad de PQR que posee esa temática o aspecto evaluable registrado, conforme aparece en la hoja "Parámetros".</t>
  </si>
  <si>
    <t>Cantidad de objetivos estratégicos o institucionales Asociados</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</si>
  <si>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</si>
  <si>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</si>
  <si>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</si>
  <si>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Impacto en el presupuesto</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</si>
  <si>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</si>
  <si>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Nivel de criticidad</t>
  </si>
  <si>
    <t>Surge automáticamente a partir del puntaje total ponderado y calculado automáticamente por la matriz. Estos niveles de criticidad agrupados en 4 rangos aparecen semaforizados con base en lo establecido en la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</si>
  <si>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</si>
  <si>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</si>
  <si>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PRIORIZACIÓN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</si>
  <si>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</si>
  <si>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Notas explicatorias</t>
  </si>
  <si>
    <t>Al ubicarse en cada encabezado de columna o de campo y dar un click, aparecerán notas  con instrucciones detalladas para su correcto diligenciamiento en toda la matriz de priorización del universo de auditoria basado en riesgos.</t>
  </si>
  <si>
    <t>Total presupuesto egresos entidad aprobado para la vigencia</t>
  </si>
  <si>
    <t>Puntajes</t>
  </si>
  <si>
    <t>Nivel riesgo inherente</t>
  </si>
  <si>
    <t>No tiene Riesgos Asociado</t>
  </si>
  <si>
    <t>Los  riesgos están en zona baja (zona de aceptación)</t>
  </si>
  <si>
    <t>Tiene un riesgo o más en Calificación Moderada</t>
  </si>
  <si>
    <t>Tiene un riesgo o más en calificación Alta</t>
  </si>
  <si>
    <t>Tiene un riesgo en calificación Extrema</t>
  </si>
  <si>
    <t>Tiempo transcurrido desde última auditoría</t>
  </si>
  <si>
    <t>&lt;= 1 año</t>
  </si>
  <si>
    <t>&gt; 1 año &lt;= 2 años</t>
  </si>
  <si>
    <t>&gt; 2 años &lt;= 3 años</t>
  </si>
  <si>
    <t>&gt; 3 años &lt;= 4 años</t>
  </si>
  <si>
    <t>&gt; 4 años</t>
  </si>
  <si>
    <t>Nivel Directivo</t>
  </si>
  <si>
    <t>CANTIDAD PQR</t>
  </si>
  <si>
    <t>Menos de 2 seguimientos por alta dirección</t>
  </si>
  <si>
    <t>Sin PQR</t>
  </si>
  <si>
    <t>Temas de seguimiento alta dirección con menor repetición en un periodo de seis meses ( menos de 2 seguimientos en diferentes comités)</t>
  </si>
  <si>
    <t>Entre 2 y 3 seguimientos por alta dirección</t>
  </si>
  <si>
    <t>De 1 a 2 PQR</t>
  </si>
  <si>
    <t>Temas de seguimiento alta dirección con penúltimo valor de repetición en un periodo de seis meses( entre 2 y 3 seguimientos en diferentes comités)</t>
  </si>
  <si>
    <t>Entre 4 y 5 seguimientos por alta dirección</t>
  </si>
  <si>
    <t>De 3 a 4 PQR</t>
  </si>
  <si>
    <t>Temas de seguimiento alta dirección con ante penúltimo valor de repetición en un periodo de seis meses ( entre 4 y 5 seguimientos en diferentes comités)</t>
  </si>
  <si>
    <t>Entre 6 y 7 seguimientos por alta dirección</t>
  </si>
  <si>
    <t>De 5 a 6 PQR</t>
  </si>
  <si>
    <t>Temas de seguimiento alta dirección con el segundo mayor valor de repetición en un periodo de seis meses( entre 6 y 7 seguimientos en diferentes comités)</t>
  </si>
  <si>
    <t>Entre 8 o mas seguimientos por alta dirección</t>
  </si>
  <si>
    <t>7 o más PQR</t>
  </si>
  <si>
    <t>Temas de seguimiento alta dirección  con el  mayor valor de repetición en un periodo de seis meses ( 8 o mas seguimientos en diferentes comités)</t>
  </si>
  <si>
    <t>Objetivos estratégicos asociados</t>
  </si>
  <si>
    <t>No tiene objetivo asociado</t>
  </si>
  <si>
    <t>1 objetivo estratégico asociado</t>
  </si>
  <si>
    <t>2 objetivos estratégicos asociados</t>
  </si>
  <si>
    <t>3 objetivos estratégicos asociados</t>
  </si>
  <si>
    <t>4 o más objetivos estratégicos asociados</t>
  </si>
  <si>
    <t>Resultados auditorías anteriores</t>
  </si>
  <si>
    <t>Sin hallazgos abiertos</t>
  </si>
  <si>
    <t>1 a 2 hallazgos abiertos</t>
  </si>
  <si>
    <t>3 a 4 hallazgos abiertos</t>
  </si>
  <si>
    <t>5 a 6 hallazgos abiertos</t>
  </si>
  <si>
    <t>7 o más hallazgos abiertos</t>
  </si>
  <si>
    <t>Podría tomarse Criterio materialidad Contable</t>
  </si>
  <si>
    <t>PRESUPUESTO DE INGRESOS Y GASTOS ISSAI 1320 A4</t>
  </si>
  <si>
    <t>Muy Alto  &gt;= 50%</t>
  </si>
  <si>
    <t>Alto &gt;=20 y &lt;50%</t>
  </si>
  <si>
    <t>Medio &gt;=5% y &lt;20%</t>
  </si>
  <si>
    <t>Bajo &gt;=1% y &lt;5%</t>
  </si>
  <si>
    <t>Muy Bajo &lt;1%</t>
  </si>
  <si>
    <t>Bajo</t>
  </si>
  <si>
    <t>&lt; 1.5</t>
  </si>
  <si>
    <t>Verde</t>
  </si>
  <si>
    <t>Bajo (Priorizado)</t>
  </si>
  <si>
    <t>&gt;=1.5 &lt;2</t>
  </si>
  <si>
    <t>Moderado</t>
  </si>
  <si>
    <t>&gt;=2 &lt;3</t>
  </si>
  <si>
    <t>Amarillo</t>
  </si>
  <si>
    <t>Alto</t>
  </si>
  <si>
    <t>&gt;=3 &lt;4</t>
  </si>
  <si>
    <t>Naranja</t>
  </si>
  <si>
    <t>Extremo</t>
  </si>
  <si>
    <t>&gt;= 4</t>
  </si>
  <si>
    <t>Rojo</t>
  </si>
  <si>
    <t>Ciclo de rotación</t>
  </si>
  <si>
    <t>No auditar</t>
  </si>
  <si>
    <t>Cada 4 años</t>
  </si>
  <si>
    <t>Cada 3 años</t>
  </si>
  <si>
    <t>Cada 2 años</t>
  </si>
  <si>
    <t>Cada año</t>
  </si>
  <si>
    <t>Catastrófico &gt;= 50%</t>
  </si>
  <si>
    <t>Mayor &gt;=20 y &lt;50%</t>
  </si>
  <si>
    <t>Moderado &gt;=5% y &lt;20%</t>
  </si>
  <si>
    <t>Menor &gt;=1% y &lt;5%</t>
  </si>
  <si>
    <t>Insignificante &lt;1%</t>
  </si>
  <si>
    <t>Innpulsa</t>
  </si>
  <si>
    <t>Colombia Productiva</t>
  </si>
  <si>
    <t>SUIT</t>
  </si>
  <si>
    <t>Abierto</t>
  </si>
  <si>
    <t>Cerrado</t>
  </si>
  <si>
    <t>Presupuesto</t>
  </si>
  <si>
    <t>Gastos  de Personal</t>
  </si>
  <si>
    <t>Gestión General</t>
  </si>
  <si>
    <t>Dirección Comercio Exterior</t>
  </si>
  <si>
    <t>Total Gastos  de Personal</t>
  </si>
  <si>
    <t>Adquisición de Bienes</t>
  </si>
  <si>
    <t>Total Adquisición de Bienes</t>
  </si>
  <si>
    <t>Total Tramites</t>
  </si>
  <si>
    <t>Priorización del Universo de Auditoría Interna Basado en Riesgos</t>
  </si>
  <si>
    <t>Código:</t>
  </si>
  <si>
    <t>ES-FM-013</t>
  </si>
  <si>
    <t>Versión:</t>
  </si>
  <si>
    <t>Fecha:</t>
  </si>
  <si>
    <t xml:space="preserve">CÓDIGO: </t>
  </si>
  <si>
    <t xml:space="preserve">FECHA DE ELABORACIÓN: </t>
  </si>
  <si>
    <t>FECHA DE APROBACIÓN</t>
  </si>
  <si>
    <t xml:space="preserve">RIESGO INHERENTE
</t>
  </si>
  <si>
    <t>ASPECTOS EVALUABLES
UNIDADES AUDITABLES
(Proceso/Proyecto/Procedimiento/Área funcional/ Unidad de negocio/Unidad desconcentrada/ Plan/ Programa/Sistema de Gestión o de control/ Aspectos de TIC/ Otras Temáticas)</t>
  </si>
  <si>
    <t>Total</t>
  </si>
  <si>
    <t>RIESGO INHERENTE Ponderación de Riesgos del Proceso</t>
  </si>
  <si>
    <t>Tiempo transcurrido desde última auditoría (Criterio)</t>
  </si>
  <si>
    <t>Tiempo transcurrido desde última auditoría (Calificación)</t>
  </si>
  <si>
    <t>Temas de interés de la Alta Dirección (Criterios)</t>
  </si>
  <si>
    <t>Temas de interés de la Alta Dirección - Calificación</t>
  </si>
  <si>
    <t>Cantidad de objetivos estratégicos asociados (Criterios)</t>
  </si>
  <si>
    <t>Cantidad de objetivos estratégicos asociados (Calificación)</t>
  </si>
  <si>
    <t>Resultados auditorías anteriores internas y externas  (Criterios) - PM</t>
  </si>
  <si>
    <t>Resultados auditorías anteriores internas y externas  (Calificación) - PM</t>
  </si>
  <si>
    <t>Impacto en el presupuesto (Criterios)</t>
  </si>
  <si>
    <t>Impacto en el presupuesto (Calificación)</t>
  </si>
  <si>
    <t>Ponderación</t>
  </si>
  <si>
    <t>Ciclo de Rotación auditorías</t>
  </si>
  <si>
    <t>Priorización de Auditorías Basadas en Riesgos año 1</t>
  </si>
  <si>
    <t>Priorización de Auditorías Basadas en Riesgos año 2</t>
  </si>
  <si>
    <t>Priorización de Auditorías Basadas en Riesgos año 3</t>
  </si>
  <si>
    <t>Priorización de Auditorías Basadas en Riesgos año 4</t>
  </si>
  <si>
    <t>Planeación y direccionamiento estratégico</t>
  </si>
  <si>
    <t>Comunicación estratégica y relacionamiento con los grupos de valor</t>
  </si>
  <si>
    <t>Fortalecimiento y capacidades humanas</t>
  </si>
  <si>
    <t>Gobierno de información y estadística</t>
  </si>
  <si>
    <t>Diseño de instrumentos para el desarrollo económico inclusivo y cierre de brechas</t>
  </si>
  <si>
    <t>Fomento al desarrollo económico sostenible y a la oferta de valor de bienes y servicios</t>
  </si>
  <si>
    <t>Internacionalización e inversión por la transformación productiva</t>
  </si>
  <si>
    <t>Medición de los resultados de la política</t>
  </si>
  <si>
    <t>Gestión jurídica</t>
  </si>
  <si>
    <t>Gestión de Recursos</t>
  </si>
  <si>
    <t>Gestión documental</t>
  </si>
  <si>
    <t>Evaluación, seguimiento y mejora institucional</t>
  </si>
  <si>
    <t>Administración, profundización y aprovechamiento de acuerdos y relaciones comerciales - Viceministerio de Comercio Exterior</t>
  </si>
  <si>
    <t>Facilitación del comercio y defensa comercial - Viceministerio de Comercio Exterior</t>
  </si>
  <si>
    <t>Desarrollo empresarial - Viceministerio de Desarrollo Empresarial</t>
  </si>
  <si>
    <t>Fortalecimiento de la competitividad y promoción del turismo - Viceministerio de Turismo</t>
  </si>
  <si>
    <t>Gestión del talento humano</t>
  </si>
  <si>
    <t>Direccionamiento estratégico</t>
  </si>
  <si>
    <t>Relacionamiento con la ciudadanía</t>
  </si>
  <si>
    <t>Gestión TI</t>
  </si>
  <si>
    <t>Gestión de recursos financieros</t>
  </si>
  <si>
    <t>Gestión de recursos físicos</t>
  </si>
  <si>
    <t>Adquisición de bienes y servicios</t>
  </si>
  <si>
    <t>Sistemas de gestión - Planeación</t>
  </si>
  <si>
    <t>Evaluación, seguimiento y control</t>
  </si>
  <si>
    <t>Fuente: Elaboración equipo Función Pública</t>
  </si>
  <si>
    <t>Riesgo de Gestión</t>
  </si>
  <si>
    <t>Riesgos Fiscales</t>
  </si>
  <si>
    <t>Riesgos Corrupción</t>
  </si>
  <si>
    <t>Apoyo al gobierno en una correcta inserción de Colombia en los mercados internacionales, apertura de nuevos mercados y la profundización de los existentes – Nacional - Vice Comercio - $2.891.976.929</t>
  </si>
  <si>
    <t>Fortalecimiento de los servicios brindados a los usuarios de comercio exterior a nivel nacional - Dirección de Comercio Exterior - $9.698.657.136</t>
  </si>
  <si>
    <t>Fortalecimiento de los estándares de calidad en la infraestructura productiva nacional a partir del reconocimiento y desarrollo nacional e internacional del Subsistema Nacional de la Calidad Nacional – Regulación - $9.000.000.000</t>
  </si>
  <si>
    <t>Apoyo para el acceso a los mercados de las unidades productivas de la población víctima del conflicto armado nacional – MiPymes - $20.157.100.000</t>
  </si>
  <si>
    <t>Fortalecimiento del entorno competitivo en la industria a nivel nacional, propiciando un escenario sostenible que garantice la transparencia, coherencia, calidad de normas y trámites en aras de fortalecer el crecimiento del país – Regulación - $3.500.000.000</t>
  </si>
  <si>
    <t>Fortalecimiento de las capacidades empresariales para el desarrollo productivo sostenible e incluyente a nivel nacional – MiPymes - $79.362.825.000</t>
  </si>
  <si>
    <t>Fortalecimiento de la política para el fomento de la industria, la competitividad y la productividad a nivel nacional – DPYC - $64.931.575.000</t>
  </si>
  <si>
    <t>Desarrollo sostenible y responsable del turismo incluyente para consolidar a Colombia como el país de la belleza nacional - Vice Turismo - $6.500.000.000</t>
  </si>
  <si>
    <t>Mejoramiento en la aplicación y convergencia hacia estándares internacionales de información financiera y de aseguramiento de la información a nivel nacional - $180.000.000</t>
  </si>
  <si>
    <t>Fortalecimiento de la planeación estratégica, producción, análisis, difusión y evaluación de instrumentos de política pública y de información estadística sectorial – OAPS - 1.250.058.000</t>
  </si>
  <si>
    <t>Ampliación de la capacidad de los servicios de las tecnologías de información en el MINCIT nacional - Oficina de Sistemas de Información - 6.500.000.000</t>
  </si>
  <si>
    <t>Fortalecimiento diseño, implementación y sostenibilidad del modelo de gestión para el desarrollo integral del talento humano y relacionamiento con la ciudadanía en el Ministerio de Comercio, Industria y Turismo Bogotá – Secretaría General Talento Humano - $4.000.000.000</t>
  </si>
  <si>
    <t>Fortalecimiento de los procesos gestión documental del Ministerio de Comercio, Industria y Turismo Bogotá - Secretaría General Gestión Documental - $350.000.000</t>
  </si>
  <si>
    <t>Aprovechamiento del potencial de atracción de inversión extranjera directa (IED) del país nacional - Dirección de Inversión Extranjera - $7.000.000.000</t>
  </si>
  <si>
    <t>Patrimonio Autónomo INNPULSA Colombia</t>
  </si>
  <si>
    <t>Patrimonio Autónomo FONTUR</t>
  </si>
  <si>
    <t>Patrimonio Autónomo Procolombia</t>
  </si>
  <si>
    <t>Número de veces que se realizó el tramité en el año (Criterios)</t>
  </si>
  <si>
    <t>Número de veces que se realizó el tramité en el año  (Criterios)</t>
  </si>
  <si>
    <t>Asesoría y orientación en calidad y certificación turística - Dirección de Calidad y Desarrollo Sostenible del Turismo</t>
  </si>
  <si>
    <t>Aprobación de Planes Maestros para Infraestructura de Proyectos Turísticos Especiales de Gran Escala (PTE) - Viceministerio de Turismo</t>
  </si>
  <si>
    <t>Declaratoria de existencia de un área geográfica como Zona Inscrito Franca Transitoria - Dirección de Productividad y Competitividad - Grupo Zonas Francas</t>
  </si>
  <si>
    <t>Autorización usuario operador - Dirección de Productividad y Competitividad - Grupo Zonas Francas</t>
  </si>
  <si>
    <t>Declaratoria de existencia de un área geográfica como zona franca permanente especial y reconocimiento del usuario industrial - Dirección de Productividad y Competitividad - Grupo Zonas Francas</t>
  </si>
  <si>
    <t>Aprobación de la creación de Unidades Sectoriales de Normalización - Dirección de Regulación</t>
  </si>
  <si>
    <t>Modificaciones de la nomenclatura y tarifas arancelarias - Subdirección de Prácticas Comerciales</t>
  </si>
  <si>
    <t>Investigación para aplicación de derechos compensatorios - Subdirección de Prácticas Comerciales</t>
  </si>
  <si>
    <t>Investigación para aplicación de medidas de salvaguardia - Subdirección de Prácticas Comerciales</t>
  </si>
  <si>
    <t>Investigación para aplicación de derechos antidumping - Subdirección de Prácticas Comerciales</t>
  </si>
  <si>
    <t xml:space="preserve">Aprobación de programas de Sistemas Especiales de Importación - Exportación y sus modificaciones - Subdirección de Diseño y Administración de Operaciones – Grupo Sistemas Especiales de Importación – Exportación y Comercializadoras </t>
  </si>
  <si>
    <t xml:space="preserve">Solicitud de autorización como sociedad de comercialización internacional - Subdirección de Diseño y Administración de Operaciones – Grupo Sistemas Especiales de Importación – Exportación y Comercializadoras </t>
  </si>
  <si>
    <t xml:space="preserve">Autorización de reposición de materias primas e insumos mediante los Sistemas de Importación y Exportación - Subdirección de Diseño y Administración de Operaciones – Grupo Sistemas Especiales de Importación – Exportación y Comercializadoras </t>
  </si>
  <si>
    <t xml:space="preserve">Estudios de demostración del
cumplimiento de compromisos
de exportación - Subdirección de Diseño y Administración de Operaciones – Grupo Sistemas Especiales de Importación – Exportación y Comercializadoras </t>
  </si>
  <si>
    <t>Aprobación o modificación de licencias de importación - Subdirección de Diseño y Administración de Operaciones – Comité de Importaciones.</t>
  </si>
  <si>
    <t>Certificaciones de Existencia de Producción Nacional – Subdirección de Diseño y Administración de Operaciones.</t>
  </si>
  <si>
    <t>Presentación de la solicitud de transformación y ensamble – Subdirección de Diseño y Administración de Operaciones.</t>
  </si>
  <si>
    <t>Registro de productores de bienes nacionales - Subdirección de
Diseño y Administración de Operaciones - Grupo Registro de
Productores de Bienes Nacionales</t>
  </si>
  <si>
    <t>Informes sobre utilización de licencia anual de importación – Subdirección de Diseño y Administración de Operaciones.</t>
  </si>
  <si>
    <t>Aprobación cuota(s) de exportación de azúcar sin refinar, panela y productos con azúcar a los Estados Unidos – Subdirección de Diseño y Administración de Operaciones.</t>
  </si>
  <si>
    <t>Calificación de planillas A y B de motopartes nacionales - Subdirección de Diseño y Administración de Operaciones - Grupo Registro de Productores de Bienes Nacionales</t>
  </si>
  <si>
    <t>Cancelación total o parcial registros de importación - Subdirección de Diseño y Administración de Operaciones - VUCE</t>
  </si>
  <si>
    <t>Registro de importación y modificación del registro de importación - Subdirección de Diseño y Administración de  Operaciones - VUCE</t>
  </si>
  <si>
    <t>Renovación, adición o cambio de marca de la autorización de ensamble - Subdirección de Diseño y Administración de  Operaciones</t>
  </si>
  <si>
    <t>N°</t>
  </si>
  <si>
    <t>Actividad</t>
  </si>
  <si>
    <t>Tema</t>
  </si>
  <si>
    <t>Calificación</t>
  </si>
  <si>
    <t>Nivel Criticidad</t>
  </si>
  <si>
    <t>Proceso</t>
  </si>
  <si>
    <t>Proyecto</t>
  </si>
  <si>
    <t>Patrimonio</t>
  </si>
  <si>
    <t>DETERMINACION PLAN DE AUDITORIA vs RECURSOS</t>
  </si>
  <si>
    <t xml:space="preserve">Fecha de Elaboración: </t>
  </si>
  <si>
    <t>Nombre del Subproceso A Auditar de Acuerdo a la Evaluación del Universo</t>
  </si>
  <si>
    <t>Detalle del Alcance del Trabajo</t>
  </si>
  <si>
    <t>Tipo de Trabajo</t>
  </si>
  <si>
    <t>Tiempo Estimado de la Auditoria (hh).</t>
  </si>
  <si>
    <t>Incluido en el Plan Anual</t>
  </si>
  <si>
    <t>Gestión Humana</t>
  </si>
  <si>
    <t>Aseguramiento</t>
  </si>
  <si>
    <t>No</t>
  </si>
  <si>
    <t>Si</t>
  </si>
  <si>
    <t>TOTAL HORAS NECESARIAS</t>
  </si>
  <si>
    <t xml:space="preserve">TOTAL HORAS DISPONIBLES EQUIPO DE AUDITORES </t>
  </si>
  <si>
    <t>DIFERENCIA (TIEMPO ADECUADO / TIEMPO INSUFICIENTE)</t>
  </si>
  <si>
    <t xml:space="preserve">Observaciones Generales: </t>
  </si>
  <si>
    <t>Fuente: Adaptado de Instituto de Auditores Internos. COSO ERM. Agosto 2014.</t>
  </si>
  <si>
    <t>SEGUIMIENTO PROGRAMA ANUAL DE AUDITORIA</t>
  </si>
  <si>
    <t>Objetivo del Documento:</t>
  </si>
  <si>
    <t>Nombre del proceso/proyecto/Procedimiento A Auditar de Acuerdo a la Evaluación del Universo</t>
  </si>
  <si>
    <t xml:space="preserve">Fecha de Inicio </t>
  </si>
  <si>
    <t xml:space="preserve">Fecha de Finalización </t>
  </si>
  <si>
    <t>AVANCES</t>
  </si>
  <si>
    <t>Estado</t>
  </si>
  <si>
    <t>Ene</t>
  </si>
  <si>
    <t>Feb</t>
  </si>
  <si>
    <t>Mar</t>
  </si>
  <si>
    <t>Abr</t>
  </si>
  <si>
    <t>May</t>
  </si>
  <si>
    <t>Jun</t>
  </si>
  <si>
    <t>Jul</t>
  </si>
  <si>
    <t>Ago</t>
  </si>
  <si>
    <t>Sep</t>
  </si>
  <si>
    <t>Oct</t>
  </si>
  <si>
    <t>Nov</t>
  </si>
  <si>
    <t>Dic</t>
  </si>
  <si>
    <t>Sin Iniciar</t>
  </si>
  <si>
    <t>Proceso: Evaluación, seguimiento y mejora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</si>
</sst>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0.00\ &quot;años&quot;"/>
    <numFmt numFmtId="166" formatCode="&quot;$&quot;#,##0.00"/>
    <numFmt numFmtId="167" formatCode="dd/mm/yyyy;@"/>
    <numFmt numFmtId="168" formatCode="0.0"/>
  </numFmts>
  <fonts count="48"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1"/>
      <color theme="1"/>
      <name val="Calibri"/>
      <family val="2"/>
      <scheme val="minor"/>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8"/>
      <name val="Calibri"/>
      <family val="2"/>
      <scheme val="minor"/>
    </font>
    <font>
      <sz val="9"/>
      <color indexed="81"/>
      <name val="Tahoma"/>
      <family val="2"/>
    </font>
    <font>
      <sz val="11"/>
      <color theme="0"/>
      <name val="Calibri"/>
      <family val="2"/>
      <scheme val="minor"/>
    </font>
    <font>
      <b/>
      <sz val="10"/>
      <color indexed="9"/>
      <name val="Verdana"/>
      <family val="2"/>
    </font>
    <font>
      <b/>
      <sz val="9"/>
      <color indexed="9"/>
      <name val="Verdana"/>
      <family val="2"/>
    </font>
    <font>
      <sz val="11"/>
      <color rgb="FF0432FF"/>
      <name val="Calibri"/>
      <family val="2"/>
      <scheme val="minor"/>
    </font>
    <font>
      <sz val="10"/>
      <color theme="1"/>
      <name val="Verdana"/>
      <family val="2"/>
    </font>
    <font>
      <sz val="10"/>
      <color rgb="FFFF0000"/>
      <name val="Verdana"/>
      <family val="2"/>
    </font>
    <font>
      <b/>
      <sz val="11"/>
      <color theme="1"/>
      <name val="Verdana"/>
      <family val="2"/>
    </font>
    <font>
      <sz val="11"/>
      <color theme="1"/>
      <name val="Verdana"/>
      <family val="2"/>
    </font>
    <font>
      <sz val="11"/>
      <name val="Verdana"/>
      <family val="2"/>
    </font>
    <font>
      <b/>
      <sz val="11"/>
      <name val="Verdana"/>
      <family val="2"/>
    </font>
    <font>
      <b/>
      <sz val="10"/>
      <color theme="1"/>
      <name val="Verdana"/>
      <family val="2"/>
    </font>
    <font>
      <b/>
      <sz val="10"/>
      <name val="Verdana"/>
      <family val="2"/>
    </font>
    <font>
      <sz val="11"/>
      <color rgb="FFFF0000"/>
      <name val="Verdana"/>
      <family val="2"/>
    </font>
    <font>
      <b/>
      <sz val="14"/>
      <color theme="1"/>
      <name val="Verdana"/>
      <family val="2"/>
    </font>
    <font>
      <sz val="14"/>
      <color theme="1"/>
      <name val="Verdana"/>
      <family val="2"/>
    </font>
    <font>
      <b/>
      <sz val="12"/>
      <color theme="1"/>
      <name val="Verdana"/>
      <family val="2"/>
    </font>
    <font>
      <b/>
      <sz val="16"/>
      <color theme="1"/>
      <name val="Verdana"/>
      <family val="2"/>
    </font>
    <font>
      <b/>
      <sz val="9"/>
      <color theme="1"/>
      <name val="Verdana"/>
      <family val="2"/>
    </font>
    <font>
      <sz val="9"/>
      <color theme="1"/>
      <name val="Verdana"/>
      <family val="2"/>
    </font>
    <font>
      <sz val="10"/>
      <color indexed="9"/>
      <name val="Verdana"/>
      <family val="2"/>
    </font>
    <font>
      <sz val="10"/>
      <color rgb="FF00B050"/>
      <name val="Verdana"/>
      <family val="2"/>
    </font>
    <font>
      <sz val="10"/>
      <color rgb="FFFF00FF"/>
      <name val="Verdana"/>
      <family val="2"/>
    </font>
    <font>
      <sz val="10"/>
      <color rgb="FF0432FF"/>
      <name val="Verdana"/>
      <family val="2"/>
    </font>
    <font>
      <b/>
      <sz val="11"/>
      <color rgb="FF0432FF"/>
      <name val="Calibri"/>
      <family val="2"/>
      <scheme val="minor"/>
    </font>
    <font>
      <b/>
      <sz val="10"/>
      <color rgb="FF0070C0"/>
      <name val="Verdana"/>
      <family val="2"/>
    </font>
    <font>
      <sz val="10"/>
      <name val="Verdana"/>
      <family val="2"/>
    </font>
    <font>
      <b/>
      <sz val="16"/>
      <name val="Verdana"/>
      <family val="2"/>
    </font>
    <font>
      <b/>
      <sz val="11"/>
      <color theme="0"/>
      <name val="Verdana"/>
      <family val="2"/>
    </font>
    <font>
      <b/>
      <sz val="14"/>
      <color theme="0"/>
      <name val="Verdana"/>
      <family val="2"/>
    </font>
    <font>
      <b/>
      <sz val="12"/>
      <color rgb="FF000000"/>
      <name val="Verdana"/>
      <family val="2"/>
    </font>
    <font>
      <sz val="12"/>
      <color rgb="FF000000"/>
      <name val="Verdana"/>
      <family val="2"/>
    </font>
    <font>
      <b/>
      <sz val="18"/>
      <name val="Verdana"/>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7C767"/>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5"/>
        <bgColor indexed="64"/>
      </patternFill>
    </fill>
    <fill>
      <patternFill patternType="solid">
        <fgColor rgb="FFFFFF99"/>
        <bgColor indexed="64"/>
      </patternFill>
    </fill>
    <fill>
      <patternFill patternType="solid">
        <fgColor rgb="FFFFFF99"/>
        <bgColor theme="0"/>
      </patternFill>
    </fill>
    <fill>
      <patternFill patternType="solid">
        <fgColor theme="4" tint="0.59999389629810485"/>
        <bgColor indexed="64"/>
      </patternFill>
    </fill>
    <fill>
      <patternFill patternType="solid">
        <fgColor theme="4" tint="0.59999389629810485"/>
        <bgColor theme="0"/>
      </patternFill>
    </fill>
    <fill>
      <patternFill patternType="solid">
        <fgColor rgb="FF962D46"/>
        <bgColor indexed="64"/>
      </patternFill>
    </fill>
    <fill>
      <patternFill patternType="solid">
        <fgColor theme="0"/>
        <bgColor theme="0"/>
      </patternFill>
    </fill>
    <fill>
      <patternFill patternType="solid">
        <fgColor rgb="FFBFBFBF"/>
        <bgColor indexed="64"/>
      </patternFill>
    </fill>
    <fill>
      <patternFill patternType="solid">
        <fgColor rgb="FFFFFFFF"/>
        <bgColor indexed="64"/>
      </patternFill>
    </fill>
  </fills>
  <borders count="5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top/>
      <bottom style="thin">
        <color auto="1"/>
      </bottom>
      <diagonal/>
    </border>
    <border>
      <left style="medium">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13">
    <xf numFmtId="0" fontId="0" fillId="0" borderId="0"/>
    <xf numFmtId="0" fontId="2" fillId="0" borderId="0"/>
    <xf numFmtId="0" fontId="3" fillId="0" borderId="0"/>
    <xf numFmtId="0" fontId="3" fillId="0" borderId="0"/>
    <xf numFmtId="164" fontId="4" fillId="0" borderId="0" applyFont="0" applyFill="0" applyBorder="0" applyAlignment="0" applyProtection="0"/>
    <xf numFmtId="0" fontId="3"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cellStyleXfs>
  <cellXfs count="337">
    <xf numFmtId="0" fontId="0" fillId="0" borderId="0" xfId="0"/>
    <xf numFmtId="0" fontId="0" fillId="2" borderId="0" xfId="0" applyFill="1"/>
    <xf numFmtId="0" fontId="0" fillId="2" borderId="0" xfId="0" applyFill="1" applyAlignment="1">
      <alignment horizontal="center" vertical="center"/>
    </xf>
    <xf numFmtId="0" fontId="6" fillId="8" borderId="9" xfId="0" applyFont="1" applyFill="1" applyBorder="1" applyAlignment="1">
      <alignment horizontal="center" vertical="center" wrapText="1"/>
    </xf>
    <xf numFmtId="0" fontId="2" fillId="8" borderId="24" xfId="0" applyFont="1" applyFill="1" applyBorder="1" applyAlignment="1">
      <alignment horizontal="center" vertical="center" textRotation="90"/>
    </xf>
    <xf numFmtId="0" fontId="2" fillId="8" borderId="22"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0" fillId="9" borderId="19" xfId="0" applyFill="1" applyBorder="1"/>
    <xf numFmtId="0" fontId="0" fillId="9" borderId="30" xfId="0" applyFill="1" applyBorder="1"/>
    <xf numFmtId="0" fontId="1" fillId="2" borderId="37" xfId="0" applyFont="1" applyFill="1" applyBorder="1"/>
    <xf numFmtId="0" fontId="10" fillId="2" borderId="38" xfId="0" applyFont="1" applyFill="1" applyBorder="1"/>
    <xf numFmtId="0" fontId="1" fillId="2" borderId="38"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7" fillId="0" borderId="7" xfId="0" applyFont="1" applyBorder="1" applyAlignment="1">
      <alignment horizontal="left" vertical="center" wrapText="1"/>
    </xf>
    <xf numFmtId="0" fontId="9" fillId="3" borderId="40" xfId="0" applyFont="1" applyFill="1" applyBorder="1" applyAlignment="1">
      <alignment horizontal="center" vertical="center"/>
    </xf>
    <xf numFmtId="0" fontId="9" fillId="3" borderId="20" xfId="0" applyFont="1" applyFill="1" applyBorder="1" applyAlignment="1">
      <alignment horizontal="center" vertical="center"/>
    </xf>
    <xf numFmtId="0" fontId="5" fillId="0" borderId="40" xfId="0" applyFont="1" applyBorder="1" applyAlignment="1">
      <alignment horizontal="center" vertical="center" wrapText="1"/>
    </xf>
    <xf numFmtId="0" fontId="1" fillId="2" borderId="36"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1" xfId="0" applyFont="1" applyFill="1" applyBorder="1"/>
    <xf numFmtId="0" fontId="10" fillId="2" borderId="42" xfId="0" applyFont="1" applyFill="1" applyBorder="1"/>
    <xf numFmtId="0" fontId="9" fillId="3" borderId="32"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3" xfId="0" applyBorder="1" applyAlignment="1">
      <alignment wrapText="1"/>
    </xf>
    <xf numFmtId="0" fontId="1" fillId="2" borderId="36" xfId="0" applyFont="1" applyFill="1" applyBorder="1"/>
    <xf numFmtId="0" fontId="0" fillId="9" borderId="26" xfId="0" applyFill="1" applyBorder="1"/>
    <xf numFmtId="0" fontId="0" fillId="9" borderId="27" xfId="0" applyFill="1" applyBorder="1"/>
    <xf numFmtId="0" fontId="0" fillId="9" borderId="45" xfId="0" applyFill="1" applyBorder="1"/>
    <xf numFmtId="0" fontId="0" fillId="9" borderId="46" xfId="0" applyFill="1" applyBorder="1"/>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0" borderId="19" xfId="0" applyFont="1" applyBorder="1" applyAlignment="1">
      <alignment horizontal="center" vertical="center"/>
    </xf>
    <xf numFmtId="0" fontId="5" fillId="3" borderId="30" xfId="0" applyFont="1" applyFill="1" applyBorder="1" applyAlignment="1">
      <alignment horizontal="center" vertical="center" wrapText="1"/>
    </xf>
    <xf numFmtId="0" fontId="0" fillId="3" borderId="0" xfId="0" applyFill="1" applyAlignment="1">
      <alignment wrapText="1"/>
    </xf>
    <xf numFmtId="0" fontId="5" fillId="0" borderId="20" xfId="0" applyFont="1" applyBorder="1" applyAlignment="1">
      <alignment horizontal="center" vertical="center" wrapText="1"/>
    </xf>
    <xf numFmtId="0" fontId="0" fillId="9" borderId="25" xfId="0" applyFill="1" applyBorder="1"/>
    <xf numFmtId="0" fontId="0" fillId="9" borderId="29" xfId="0" applyFill="1" applyBorder="1"/>
    <xf numFmtId="0" fontId="0" fillId="9" borderId="48" xfId="0" applyFill="1" applyBorder="1"/>
    <xf numFmtId="0" fontId="5" fillId="9" borderId="10" xfId="0" applyFont="1" applyFill="1" applyBorder="1" applyAlignment="1">
      <alignment horizontal="center" vertical="center"/>
    </xf>
    <xf numFmtId="0" fontId="5" fillId="9" borderId="37" xfId="0" applyFont="1" applyFill="1" applyBorder="1" applyAlignment="1">
      <alignment horizontal="center" vertical="center"/>
    </xf>
    <xf numFmtId="0" fontId="5" fillId="9"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2" fillId="2" borderId="0" xfId="1" applyFont="1" applyFill="1"/>
    <xf numFmtId="0" fontId="9" fillId="3" borderId="39" xfId="0" applyFont="1" applyFill="1" applyBorder="1" applyAlignment="1">
      <alignment horizontal="center" vertical="center"/>
    </xf>
    <xf numFmtId="0" fontId="0" fillId="5" borderId="0" xfId="0" applyFill="1"/>
    <xf numFmtId="0" fontId="0" fillId="7" borderId="0" xfId="0" applyFill="1"/>
    <xf numFmtId="9" fontId="0" fillId="0" borderId="0" xfId="0" applyNumberFormat="1"/>
    <xf numFmtId="166" fontId="0" fillId="0" borderId="0" xfId="0" applyNumberFormat="1"/>
    <xf numFmtId="0" fontId="0" fillId="10" borderId="0" xfId="0" applyFill="1"/>
    <xf numFmtId="0" fontId="16" fillId="4" borderId="0" xfId="0" applyFont="1" applyFill="1"/>
    <xf numFmtId="0" fontId="0" fillId="0" borderId="0" xfId="0" applyAlignment="1">
      <alignment horizontal="center"/>
    </xf>
    <xf numFmtId="9" fontId="0" fillId="0" borderId="0" xfId="0" applyNumberFormat="1" applyAlignment="1">
      <alignment horizontal="center"/>
    </xf>
    <xf numFmtId="0" fontId="16" fillId="4" borderId="0" xfId="0" applyFon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10" borderId="0" xfId="0" applyFill="1" applyAlignment="1">
      <alignment horizontal="center"/>
    </xf>
    <xf numFmtId="0" fontId="1" fillId="0" borderId="0" xfId="0" applyFont="1"/>
    <xf numFmtId="0" fontId="3" fillId="0" borderId="19" xfId="5" applyBorder="1" applyAlignment="1">
      <alignment horizontal="center" vertical="center" wrapText="1"/>
    </xf>
    <xf numFmtId="0" fontId="3" fillId="0" borderId="19" xfId="5" applyBorder="1" applyAlignment="1">
      <alignment horizontal="left" vertical="center" wrapText="1"/>
    </xf>
    <xf numFmtId="0" fontId="3" fillId="0" borderId="32" xfId="5" applyBorder="1" applyAlignment="1">
      <alignment horizontal="center" vertical="center" wrapText="1"/>
    </xf>
    <xf numFmtId="0" fontId="3" fillId="0" borderId="32" xfId="5" applyBorder="1" applyAlignment="1">
      <alignment horizontal="left" vertical="center" wrapText="1"/>
    </xf>
    <xf numFmtId="0" fontId="17" fillId="11" borderId="49" xfId="0" applyFont="1" applyFill="1" applyBorder="1" applyAlignment="1">
      <alignment horizontal="center" vertical="center" wrapText="1"/>
    </xf>
    <xf numFmtId="0" fontId="18" fillId="12" borderId="19" xfId="0" applyFont="1" applyFill="1" applyBorder="1" applyAlignment="1">
      <alignment horizontal="center" vertical="center" wrapText="1"/>
    </xf>
    <xf numFmtId="167" fontId="0" fillId="0" borderId="13" xfId="0" applyNumberFormat="1" applyBorder="1" applyAlignment="1">
      <alignment horizontal="center"/>
    </xf>
    <xf numFmtId="166" fontId="0" fillId="13" borderId="9" xfId="0" applyNumberFormat="1" applyFill="1" applyBorder="1" applyAlignment="1">
      <alignment horizontal="center"/>
    </xf>
    <xf numFmtId="0" fontId="19" fillId="0" borderId="0" xfId="0" applyFont="1"/>
    <xf numFmtId="0" fontId="19" fillId="0" borderId="0" xfId="0" applyFont="1" applyAlignment="1">
      <alignment horizontal="center"/>
    </xf>
    <xf numFmtId="166" fontId="19" fillId="0" borderId="0" xfId="0" applyNumberFormat="1" applyFont="1"/>
    <xf numFmtId="9" fontId="19" fillId="0" borderId="0" xfId="0" applyNumberFormat="1" applyFont="1"/>
    <xf numFmtId="9" fontId="19" fillId="0" borderId="0" xfId="0" applyNumberFormat="1" applyFont="1" applyAlignment="1">
      <alignment horizontal="center"/>
    </xf>
    <xf numFmtId="42" fontId="0" fillId="0" borderId="0" xfId="11" applyFont="1"/>
    <xf numFmtId="0" fontId="30" fillId="3" borderId="19" xfId="1" applyFont="1" applyFill="1" applyBorder="1" applyAlignment="1">
      <alignment horizontal="justify" vertical="center"/>
    </xf>
    <xf numFmtId="0" fontId="30" fillId="0" borderId="19" xfId="0" applyFont="1" applyBorder="1" applyAlignment="1">
      <alignment horizontal="justify" vertical="center" wrapText="1"/>
    </xf>
    <xf numFmtId="0" fontId="29" fillId="0" borderId="17" xfId="1" applyFont="1" applyBorder="1" applyAlignment="1">
      <alignment horizontal="center" vertical="center"/>
    </xf>
    <xf numFmtId="0" fontId="20" fillId="2" borderId="0" xfId="1" applyFont="1" applyFill="1"/>
    <xf numFmtId="0" fontId="20" fillId="2" borderId="0" xfId="1" applyFont="1" applyFill="1" applyAlignment="1">
      <alignment wrapText="1"/>
    </xf>
    <xf numFmtId="0" fontId="20" fillId="2" borderId="4" xfId="1" applyFont="1" applyFill="1" applyBorder="1" applyAlignment="1">
      <alignment vertical="center"/>
    </xf>
    <xf numFmtId="0" fontId="25" fillId="15" borderId="11" xfId="1" applyFont="1" applyFill="1" applyBorder="1" applyAlignment="1">
      <alignment horizontal="center" vertical="center" wrapText="1"/>
    </xf>
    <xf numFmtId="9" fontId="25" fillId="15" borderId="11" xfId="1" applyNumberFormat="1" applyFont="1" applyFill="1" applyBorder="1" applyAlignment="1">
      <alignment horizontal="center" vertical="center" wrapText="1"/>
    </xf>
    <xf numFmtId="9" fontId="25" fillId="13" borderId="11" xfId="1" applyNumberFormat="1" applyFont="1" applyFill="1" applyBorder="1" applyAlignment="1">
      <alignment horizontal="center" vertical="center" wrapText="1"/>
    </xf>
    <xf numFmtId="0" fontId="25" fillId="15" borderId="3" xfId="1" applyFont="1" applyFill="1" applyBorder="1" applyAlignment="1">
      <alignment horizontal="center" vertical="center" wrapText="1"/>
    </xf>
    <xf numFmtId="9" fontId="25" fillId="13" borderId="3" xfId="1" applyNumberFormat="1" applyFont="1" applyFill="1" applyBorder="1" applyAlignment="1">
      <alignment horizontal="center" vertical="center" wrapText="1"/>
    </xf>
    <xf numFmtId="0" fontId="20" fillId="2" borderId="5" xfId="1" applyFont="1" applyFill="1" applyBorder="1" applyAlignment="1">
      <alignment vertical="center"/>
    </xf>
    <xf numFmtId="0" fontId="20" fillId="2" borderId="0" xfId="1" applyFont="1" applyFill="1" applyAlignment="1">
      <alignment vertical="center"/>
    </xf>
    <xf numFmtId="0" fontId="25" fillId="15" borderId="28" xfId="1" applyFont="1" applyFill="1" applyBorder="1" applyAlignment="1">
      <alignment horizontal="center" vertical="center" wrapText="1"/>
    </xf>
    <xf numFmtId="0" fontId="20" fillId="4" borderId="9" xfId="1" applyFont="1" applyFill="1" applyBorder="1" applyAlignment="1">
      <alignment horizontal="center" vertical="center"/>
    </xf>
    <xf numFmtId="0" fontId="20" fillId="7" borderId="9" xfId="1" applyFont="1" applyFill="1" applyBorder="1" applyAlignment="1">
      <alignment horizontal="center" vertical="center"/>
    </xf>
    <xf numFmtId="0" fontId="20" fillId="5" borderId="9" xfId="1" applyFont="1" applyFill="1" applyBorder="1" applyAlignment="1">
      <alignment horizontal="center" vertical="center"/>
    </xf>
    <xf numFmtId="0" fontId="20" fillId="6" borderId="7" xfId="1" applyFont="1" applyFill="1" applyBorder="1" applyAlignment="1">
      <alignment horizontal="center" vertical="center"/>
    </xf>
    <xf numFmtId="0" fontId="27" fillId="15" borderId="9" xfId="1" applyFont="1" applyFill="1" applyBorder="1" applyAlignment="1">
      <alignment horizontal="center" vertical="center"/>
    </xf>
    <xf numFmtId="0" fontId="25" fillId="15" borderId="15" xfId="1" applyFont="1" applyFill="1" applyBorder="1" applyAlignment="1">
      <alignment horizontal="center" vertical="center" wrapText="1"/>
    </xf>
    <xf numFmtId="0" fontId="25" fillId="15" borderId="14" xfId="1" applyFont="1" applyFill="1" applyBorder="1" applyAlignment="1">
      <alignment horizontal="center" vertical="center" wrapText="1"/>
    </xf>
    <xf numFmtId="0" fontId="22" fillId="15" borderId="14" xfId="1" applyFont="1" applyFill="1" applyBorder="1" applyAlignment="1">
      <alignment horizontal="center" vertical="center" wrapText="1"/>
    </xf>
    <xf numFmtId="0" fontId="22" fillId="15" borderId="15" xfId="1" applyFont="1" applyFill="1" applyBorder="1" applyAlignment="1">
      <alignment horizontal="center" vertical="center" wrapText="1"/>
    </xf>
    <xf numFmtId="0" fontId="20" fillId="0" borderId="4" xfId="1" applyFont="1" applyBorder="1" applyAlignment="1">
      <alignment vertical="center"/>
    </xf>
    <xf numFmtId="0" fontId="28" fillId="13" borderId="35" xfId="0" applyFont="1" applyFill="1" applyBorder="1" applyAlignment="1">
      <alignment vertical="center" wrapText="1"/>
    </xf>
    <xf numFmtId="0" fontId="26" fillId="13" borderId="19" xfId="1" applyFont="1" applyFill="1" applyBorder="1" applyAlignment="1">
      <alignment horizontal="center" vertical="center"/>
    </xf>
    <xf numFmtId="0" fontId="26" fillId="9" borderId="19" xfId="1" applyFont="1" applyFill="1" applyBorder="1" applyAlignment="1">
      <alignment horizontal="center" vertical="center"/>
    </xf>
    <xf numFmtId="0" fontId="26" fillId="0" borderId="17" xfId="1" applyFont="1" applyBorder="1" applyAlignment="1">
      <alignment horizontal="center" vertical="center"/>
    </xf>
    <xf numFmtId="0" fontId="26" fillId="9" borderId="17" xfId="1" applyFont="1" applyFill="1" applyBorder="1" applyAlignment="1">
      <alignment horizontal="center" vertical="center"/>
    </xf>
    <xf numFmtId="165" fontId="20" fillId="13" borderId="17" xfId="4" applyNumberFormat="1" applyFont="1" applyFill="1" applyBorder="1" applyAlignment="1">
      <alignment horizontal="center" vertical="center"/>
    </xf>
    <xf numFmtId="0" fontId="20" fillId="9" borderId="17" xfId="4" applyNumberFormat="1" applyFont="1" applyFill="1" applyBorder="1" applyAlignment="1">
      <alignment horizontal="center" vertical="center"/>
    </xf>
    <xf numFmtId="0" fontId="20" fillId="13" borderId="17" xfId="1" applyFont="1" applyFill="1" applyBorder="1" applyAlignment="1">
      <alignment vertical="center" wrapText="1"/>
    </xf>
    <xf numFmtId="0" fontId="20" fillId="9" borderId="17" xfId="1" applyFont="1" applyFill="1" applyBorder="1" applyAlignment="1">
      <alignment horizontal="center" vertical="center" wrapText="1"/>
    </xf>
    <xf numFmtId="0" fontId="20" fillId="9" borderId="17" xfId="1" applyFont="1" applyFill="1" applyBorder="1" applyAlignment="1">
      <alignment horizontal="center" vertical="center"/>
    </xf>
    <xf numFmtId="0" fontId="20" fillId="13" borderId="17" xfId="1" applyFont="1" applyFill="1" applyBorder="1" applyAlignment="1">
      <alignment horizontal="justify" vertical="center" wrapText="1"/>
    </xf>
    <xf numFmtId="168" fontId="20" fillId="0" borderId="17" xfId="1" applyNumberFormat="1" applyFont="1" applyBorder="1" applyAlignment="1">
      <alignment horizontal="center" vertical="center"/>
    </xf>
    <xf numFmtId="0" fontId="20" fillId="9" borderId="17" xfId="1" applyFont="1" applyFill="1" applyBorder="1" applyAlignment="1">
      <alignment vertical="center" wrapText="1"/>
    </xf>
    <xf numFmtId="0" fontId="20" fillId="0" borderId="5" xfId="1" applyFont="1" applyBorder="1" applyAlignment="1">
      <alignment vertical="center"/>
    </xf>
    <xf numFmtId="0" fontId="20" fillId="0" borderId="0" xfId="1" applyFont="1" applyAlignment="1">
      <alignment vertical="center"/>
    </xf>
    <xf numFmtId="0" fontId="23" fillId="13" borderId="35" xfId="0" applyFont="1" applyFill="1" applyBorder="1" applyAlignment="1">
      <alignment vertical="center" wrapText="1"/>
    </xf>
    <xf numFmtId="0" fontId="21" fillId="9" borderId="17" xfId="1" applyFont="1" applyFill="1" applyBorder="1" applyAlignment="1">
      <alignment horizontal="center" vertical="center"/>
    </xf>
    <xf numFmtId="0" fontId="35" fillId="0" borderId="4" xfId="1" applyFont="1" applyBorder="1" applyAlignment="1">
      <alignment vertical="center"/>
    </xf>
    <xf numFmtId="0" fontId="26" fillId="13" borderId="32" xfId="1" applyFont="1" applyFill="1" applyBorder="1" applyAlignment="1">
      <alignment horizontal="center" vertical="center"/>
    </xf>
    <xf numFmtId="0" fontId="26" fillId="0" borderId="47" xfId="1" applyFont="1" applyBorder="1" applyAlignment="1">
      <alignment horizontal="center" vertical="center"/>
    </xf>
    <xf numFmtId="0" fontId="35" fillId="0" borderId="5" xfId="1" applyFont="1" applyBorder="1" applyAlignment="1">
      <alignment vertical="center"/>
    </xf>
    <xf numFmtId="0" fontId="35" fillId="0" borderId="0" xfId="1" applyFont="1" applyAlignment="1">
      <alignment vertical="center"/>
    </xf>
    <xf numFmtId="0" fontId="36" fillId="9" borderId="17" xfId="1" applyFont="1" applyFill="1" applyBorder="1" applyAlignment="1">
      <alignment horizontal="center" vertical="center" wrapText="1"/>
    </xf>
    <xf numFmtId="0" fontId="26" fillId="13" borderId="45" xfId="1" applyFont="1" applyFill="1" applyBorder="1" applyAlignment="1">
      <alignment horizontal="center" vertical="center"/>
    </xf>
    <xf numFmtId="0" fontId="26" fillId="0" borderId="45" xfId="1" applyFont="1" applyBorder="1" applyAlignment="1">
      <alignment horizontal="center" vertical="center"/>
    </xf>
    <xf numFmtId="0" fontId="35" fillId="0" borderId="21" xfId="1" applyFont="1" applyBorder="1"/>
    <xf numFmtId="0" fontId="35" fillId="0" borderId="13" xfId="1" applyFont="1" applyBorder="1" applyAlignment="1">
      <alignment wrapText="1"/>
    </xf>
    <xf numFmtId="0" fontId="35" fillId="0" borderId="13" xfId="1" applyFont="1" applyBorder="1"/>
    <xf numFmtId="0" fontId="35" fillId="0" borderId="14" xfId="1" applyFont="1" applyBorder="1"/>
    <xf numFmtId="0" fontId="35" fillId="0" borderId="0" xfId="1" applyFont="1"/>
    <xf numFmtId="0" fontId="35" fillId="0" borderId="0" xfId="1" applyFont="1" applyAlignment="1">
      <alignment wrapText="1"/>
    </xf>
    <xf numFmtId="0" fontId="27" fillId="0" borderId="0" xfId="1" applyFont="1"/>
    <xf numFmtId="0" fontId="20" fillId="0" borderId="0" xfId="1" applyFont="1" applyAlignment="1">
      <alignment wrapText="1"/>
    </xf>
    <xf numFmtId="0" fontId="20" fillId="0" borderId="0" xfId="1" applyFont="1"/>
    <xf numFmtId="0" fontId="21" fillId="0" borderId="0" xfId="1" applyFont="1"/>
    <xf numFmtId="0" fontId="25" fillId="15" borderId="9" xfId="1" applyFont="1" applyFill="1" applyBorder="1" applyAlignment="1">
      <alignment horizontal="center" vertical="center" wrapText="1"/>
    </xf>
    <xf numFmtId="165" fontId="20" fillId="13" borderId="26" xfId="6" applyNumberFormat="1" applyFont="1" applyFill="1" applyBorder="1" applyAlignment="1">
      <alignment horizontal="center" vertical="center"/>
    </xf>
    <xf numFmtId="165" fontId="20" fillId="13" borderId="17" xfId="6" applyNumberFormat="1" applyFont="1" applyFill="1" applyBorder="1" applyAlignment="1">
      <alignment horizontal="center" vertical="center"/>
    </xf>
    <xf numFmtId="0" fontId="37" fillId="9" borderId="17" xfId="4" applyNumberFormat="1" applyFont="1" applyFill="1" applyBorder="1" applyAlignment="1">
      <alignment horizontal="center" vertical="center"/>
    </xf>
    <xf numFmtId="165" fontId="20" fillId="13" borderId="40" xfId="6" applyNumberFormat="1" applyFont="1" applyFill="1" applyBorder="1" applyAlignment="1">
      <alignment horizontal="center" vertical="center"/>
    </xf>
    <xf numFmtId="0" fontId="20" fillId="13" borderId="40" xfId="1" applyFont="1" applyFill="1" applyBorder="1" applyAlignment="1">
      <alignment vertical="center" wrapText="1"/>
    </xf>
    <xf numFmtId="0" fontId="23" fillId="13" borderId="34" xfId="0" applyFont="1" applyFill="1" applyBorder="1" applyAlignment="1">
      <alignment vertical="center" wrapText="1"/>
    </xf>
    <xf numFmtId="0" fontId="39" fillId="0" borderId="0" xfId="0" applyFont="1"/>
    <xf numFmtId="44" fontId="19" fillId="0" borderId="0" xfId="12" applyFont="1" applyAlignment="1">
      <alignment horizontal="center"/>
    </xf>
    <xf numFmtId="44" fontId="19" fillId="0" borderId="0" xfId="0" applyNumberFormat="1" applyFont="1" applyAlignment="1">
      <alignment horizontal="center"/>
    </xf>
    <xf numFmtId="0" fontId="38" fillId="13" borderId="17" xfId="1" applyFont="1" applyFill="1" applyBorder="1" applyAlignment="1">
      <alignment vertical="center" wrapText="1"/>
    </xf>
    <xf numFmtId="0" fontId="26" fillId="0" borderId="19" xfId="1" applyFont="1" applyBorder="1" applyAlignment="1">
      <alignment horizontal="center" vertical="center"/>
    </xf>
    <xf numFmtId="3" fontId="0" fillId="0" borderId="0" xfId="0" applyNumberFormat="1"/>
    <xf numFmtId="3" fontId="0" fillId="4" borderId="0" xfId="0" applyNumberFormat="1" applyFill="1"/>
    <xf numFmtId="0" fontId="29" fillId="4" borderId="17" xfId="0" applyFont="1" applyFill="1" applyBorder="1" applyAlignment="1">
      <alignment horizontal="center" vertical="center"/>
    </xf>
    <xf numFmtId="168" fontId="30" fillId="0" borderId="17" xfId="0" applyNumberFormat="1" applyFont="1" applyBorder="1" applyAlignment="1">
      <alignment horizontal="center" vertical="center" wrapText="1"/>
    </xf>
    <xf numFmtId="0" fontId="30" fillId="0" borderId="17" xfId="0" applyFont="1" applyBorder="1" applyAlignment="1">
      <alignment horizontal="center" vertical="center" wrapText="1"/>
    </xf>
    <xf numFmtId="0" fontId="30" fillId="9" borderId="19" xfId="0" applyFont="1" applyFill="1" applyBorder="1" applyAlignment="1">
      <alignment horizontal="center" vertical="center"/>
    </xf>
    <xf numFmtId="0" fontId="20" fillId="3" borderId="0" xfId="0" applyFont="1" applyFill="1"/>
    <xf numFmtId="0" fontId="20" fillId="3" borderId="0" xfId="0" applyFont="1" applyFill="1" applyAlignment="1">
      <alignment horizontal="center" vertical="center"/>
    </xf>
    <xf numFmtId="0" fontId="20" fillId="3" borderId="7" xfId="0" applyFont="1" applyFill="1" applyBorder="1" applyAlignment="1">
      <alignment vertical="top" wrapText="1"/>
    </xf>
    <xf numFmtId="0" fontId="21" fillId="3" borderId="0" xfId="1" applyFont="1" applyFill="1" applyAlignment="1">
      <alignment vertical="center" wrapText="1"/>
    </xf>
    <xf numFmtId="0" fontId="21" fillId="3" borderId="5" xfId="1" applyFont="1" applyFill="1" applyBorder="1" applyAlignment="1">
      <alignment vertical="center" wrapText="1"/>
    </xf>
    <xf numFmtId="0" fontId="41" fillId="2" borderId="0" xfId="1" applyFont="1" applyFill="1"/>
    <xf numFmtId="0" fontId="20" fillId="3" borderId="1" xfId="1" applyFont="1" applyFill="1" applyBorder="1"/>
    <xf numFmtId="0" fontId="20" fillId="3" borderId="4" xfId="1" applyFont="1" applyFill="1" applyBorder="1"/>
    <xf numFmtId="0" fontId="33" fillId="3" borderId="21" xfId="0" applyFont="1" applyFill="1" applyBorder="1" applyAlignment="1">
      <alignment vertical="center" wrapText="1"/>
    </xf>
    <xf numFmtId="0" fontId="33" fillId="3" borderId="5" xfId="0" applyFont="1" applyFill="1" applyBorder="1" applyAlignment="1">
      <alignment vertical="center" wrapText="1"/>
    </xf>
    <xf numFmtId="0" fontId="24" fillId="13" borderId="35" xfId="0" applyFont="1" applyFill="1" applyBorder="1" applyAlignment="1">
      <alignment vertical="center" wrapText="1"/>
    </xf>
    <xf numFmtId="0" fontId="24" fillId="13" borderId="44" xfId="0" applyFont="1" applyFill="1" applyBorder="1" applyAlignment="1">
      <alignment vertical="center" wrapText="1"/>
    </xf>
    <xf numFmtId="165" fontId="20" fillId="13" borderId="17" xfId="4" applyNumberFormat="1" applyFont="1" applyFill="1" applyBorder="1" applyAlignment="1">
      <alignment horizontal="center" vertical="center" wrapText="1"/>
    </xf>
    <xf numFmtId="0" fontId="24" fillId="13" borderId="34" xfId="1" applyFont="1" applyFill="1" applyBorder="1" applyAlignment="1">
      <alignment horizontal="justify" vertical="center" wrapText="1"/>
    </xf>
    <xf numFmtId="0" fontId="24" fillId="13" borderId="50" xfId="1" applyFont="1" applyFill="1" applyBorder="1" applyAlignment="1">
      <alignment horizontal="justify" vertical="center" wrapText="1"/>
    </xf>
    <xf numFmtId="0" fontId="24" fillId="13" borderId="35" xfId="1" applyFont="1" applyFill="1" applyBorder="1" applyAlignment="1">
      <alignment horizontal="justify" vertical="center" wrapText="1"/>
    </xf>
    <xf numFmtId="0" fontId="24" fillId="13" borderId="44" xfId="1" applyFont="1" applyFill="1" applyBorder="1" applyAlignment="1">
      <alignment horizontal="justify" vertical="center" wrapText="1"/>
    </xf>
    <xf numFmtId="0" fontId="41" fillId="0" borderId="0" xfId="1" applyFont="1" applyAlignment="1">
      <alignment wrapText="1"/>
    </xf>
    <xf numFmtId="0" fontId="41" fillId="0" borderId="0" xfId="1" applyFont="1"/>
    <xf numFmtId="0" fontId="24" fillId="13" borderId="34" xfId="0" applyFont="1" applyFill="1" applyBorder="1" applyAlignment="1">
      <alignment horizontal="justify" vertical="center" wrapText="1"/>
    </xf>
    <xf numFmtId="0" fontId="24" fillId="13" borderId="50" xfId="0" applyFont="1" applyFill="1" applyBorder="1" applyAlignment="1">
      <alignment horizontal="justify" vertical="center" wrapText="1"/>
    </xf>
    <xf numFmtId="0" fontId="24" fillId="13" borderId="35" xfId="0" applyFont="1" applyFill="1" applyBorder="1" applyAlignment="1">
      <alignment horizontal="justify" vertical="center" wrapText="1"/>
    </xf>
    <xf numFmtId="0" fontId="43" fillId="17" borderId="28" xfId="1" applyFont="1" applyFill="1" applyBorder="1" applyAlignment="1">
      <alignment horizontal="center" vertical="center" wrapText="1"/>
    </xf>
    <xf numFmtId="0" fontId="43" fillId="17" borderId="15" xfId="1" applyFont="1" applyFill="1" applyBorder="1" applyAlignment="1">
      <alignment horizontal="center" vertical="center" wrapText="1"/>
    </xf>
    <xf numFmtId="0" fontId="43" fillId="17" borderId="11" xfId="1" applyFont="1" applyFill="1" applyBorder="1" applyAlignment="1">
      <alignment horizontal="center" vertical="center" wrapText="1"/>
    </xf>
    <xf numFmtId="9" fontId="43" fillId="17" borderId="11" xfId="1" applyNumberFormat="1" applyFont="1" applyFill="1" applyBorder="1" applyAlignment="1">
      <alignment horizontal="center" vertical="center" wrapText="1"/>
    </xf>
    <xf numFmtId="0" fontId="43" fillId="17" borderId="14" xfId="1" applyFont="1" applyFill="1" applyBorder="1" applyAlignment="1">
      <alignment horizontal="center" vertical="center" wrapText="1"/>
    </xf>
    <xf numFmtId="0" fontId="44" fillId="17" borderId="19" xfId="0" applyFont="1" applyFill="1" applyBorder="1" applyAlignment="1">
      <alignment horizontal="center" vertical="center"/>
    </xf>
    <xf numFmtId="0" fontId="44" fillId="17" borderId="19" xfId="0" applyFont="1" applyFill="1" applyBorder="1" applyAlignment="1">
      <alignment horizontal="center" vertical="center" wrapText="1"/>
    </xf>
    <xf numFmtId="0" fontId="31" fillId="3" borderId="2" xfId="1" applyFont="1" applyFill="1" applyBorder="1" applyAlignment="1">
      <alignment vertical="center" wrapText="1"/>
    </xf>
    <xf numFmtId="0" fontId="32" fillId="3" borderId="0" xfId="1" applyFont="1" applyFill="1" applyAlignment="1">
      <alignment vertical="center" wrapText="1"/>
    </xf>
    <xf numFmtId="0" fontId="34" fillId="16" borderId="13" xfId="0" applyFont="1" applyFill="1" applyBorder="1" applyAlignment="1">
      <alignment vertical="center" wrapText="1"/>
    </xf>
    <xf numFmtId="0" fontId="33" fillId="16" borderId="13" xfId="0" applyFont="1" applyFill="1" applyBorder="1" applyAlignment="1">
      <alignment vertical="center"/>
    </xf>
    <xf numFmtId="0" fontId="33" fillId="16" borderId="13" xfId="0" applyFont="1" applyFill="1" applyBorder="1" applyAlignment="1">
      <alignment vertical="center" wrapText="1"/>
    </xf>
    <xf numFmtId="0" fontId="33" fillId="14" borderId="13" xfId="0" applyFont="1" applyFill="1" applyBorder="1" applyAlignment="1">
      <alignment vertical="center" wrapText="1"/>
    </xf>
    <xf numFmtId="0" fontId="33" fillId="18" borderId="14" xfId="0" applyFont="1" applyFill="1" applyBorder="1" applyAlignment="1">
      <alignment vertical="center" wrapText="1"/>
    </xf>
    <xf numFmtId="0" fontId="33" fillId="14" borderId="14" xfId="0" applyFont="1" applyFill="1" applyBorder="1" applyAlignment="1">
      <alignment vertical="center" wrapText="1"/>
    </xf>
    <xf numFmtId="0" fontId="33" fillId="15" borderId="40" xfId="0" applyFont="1" applyFill="1" applyBorder="1" applyAlignment="1">
      <alignment horizontal="center" vertical="center" wrapText="1"/>
    </xf>
    <xf numFmtId="0" fontId="26" fillId="15" borderId="6" xfId="1" applyFont="1" applyFill="1" applyBorder="1" applyAlignment="1">
      <alignment horizontal="center" vertical="center"/>
    </xf>
    <xf numFmtId="0" fontId="26" fillId="15" borderId="7" xfId="1" applyFont="1" applyFill="1" applyBorder="1" applyAlignment="1">
      <alignment horizontal="center" vertical="center"/>
    </xf>
    <xf numFmtId="0" fontId="26" fillId="15" borderId="8" xfId="1" applyFont="1" applyFill="1" applyBorder="1" applyAlignment="1">
      <alignment horizontal="center" vertical="center"/>
    </xf>
    <xf numFmtId="0" fontId="34" fillId="14" borderId="20" xfId="0" applyFont="1" applyFill="1" applyBorder="1" applyAlignment="1">
      <alignment horizontal="center" vertical="center" wrapText="1"/>
    </xf>
    <xf numFmtId="0" fontId="34" fillId="14" borderId="13" xfId="0" applyFont="1" applyFill="1" applyBorder="1" applyAlignment="1">
      <alignment horizontal="center" vertical="center" wrapText="1"/>
    </xf>
    <xf numFmtId="0" fontId="20" fillId="3" borderId="51" xfId="1" applyFont="1" applyFill="1" applyBorder="1" applyAlignment="1">
      <alignment horizontal="center"/>
    </xf>
    <xf numFmtId="0" fontId="20" fillId="3" borderId="31" xfId="1" applyFont="1" applyFill="1" applyBorder="1" applyAlignment="1">
      <alignment horizontal="center"/>
    </xf>
    <xf numFmtId="0" fontId="20" fillId="3" borderId="52" xfId="1" applyFont="1" applyFill="1" applyBorder="1" applyAlignment="1">
      <alignment horizontal="center"/>
    </xf>
    <xf numFmtId="0" fontId="20" fillId="3" borderId="53" xfId="1" applyFont="1" applyFill="1" applyBorder="1" applyAlignment="1">
      <alignment horizontal="center"/>
    </xf>
    <xf numFmtId="0" fontId="20" fillId="3" borderId="49" xfId="1" applyFont="1" applyFill="1" applyBorder="1" applyAlignment="1">
      <alignment horizontal="center"/>
    </xf>
    <xf numFmtId="0" fontId="20" fillId="3" borderId="54" xfId="1" applyFont="1" applyFill="1" applyBorder="1" applyAlignment="1">
      <alignment horizontal="center"/>
    </xf>
    <xf numFmtId="0" fontId="45" fillId="19" borderId="19" xfId="0" applyFont="1" applyFill="1" applyBorder="1" applyAlignment="1">
      <alignment horizontal="center" vertical="center" wrapText="1"/>
    </xf>
    <xf numFmtId="0" fontId="46" fillId="20" borderId="19" xfId="0" applyFont="1" applyFill="1" applyBorder="1" applyAlignment="1">
      <alignment horizontal="center" vertical="center" wrapText="1"/>
    </xf>
    <xf numFmtId="1" fontId="46" fillId="20" borderId="19" xfId="0" applyNumberFormat="1" applyFont="1" applyFill="1" applyBorder="1" applyAlignment="1">
      <alignment horizontal="center" vertical="center" wrapText="1"/>
    </xf>
    <xf numFmtId="14" fontId="46" fillId="20" borderId="19" xfId="0" applyNumberFormat="1" applyFont="1" applyFill="1" applyBorder="1" applyAlignment="1">
      <alignment horizontal="center" vertical="center" wrapText="1"/>
    </xf>
    <xf numFmtId="0" fontId="47" fillId="3" borderId="19" xfId="1" applyFont="1" applyFill="1" applyBorder="1" applyAlignment="1">
      <alignment horizontal="center" vertical="center"/>
    </xf>
    <xf numFmtId="0" fontId="27" fillId="13" borderId="6" xfId="1" applyFont="1" applyFill="1" applyBorder="1" applyAlignment="1">
      <alignment horizontal="center" vertical="center" wrapText="1"/>
    </xf>
    <xf numFmtId="0" fontId="27" fillId="13" borderId="7" xfId="1" applyFont="1" applyFill="1" applyBorder="1" applyAlignment="1">
      <alignment horizontal="center" vertical="center" wrapText="1"/>
    </xf>
    <xf numFmtId="0" fontId="27" fillId="13" borderId="8" xfId="1" applyFont="1" applyFill="1" applyBorder="1" applyAlignment="1">
      <alignment horizontal="center" vertical="center" wrapText="1"/>
    </xf>
    <xf numFmtId="0" fontId="27" fillId="15" borderId="6" xfId="1" applyFont="1" applyFill="1" applyBorder="1" applyAlignment="1">
      <alignment horizontal="center" vertical="center" wrapText="1"/>
    </xf>
    <xf numFmtId="0" fontId="27" fillId="15" borderId="7" xfId="1" applyFont="1" applyFill="1" applyBorder="1" applyAlignment="1">
      <alignment horizontal="center" vertical="center" wrapText="1"/>
    </xf>
    <xf numFmtId="0" fontId="27" fillId="15" borderId="8" xfId="1" applyFont="1" applyFill="1" applyBorder="1" applyAlignment="1">
      <alignment horizontal="center" vertical="center" wrapText="1"/>
    </xf>
    <xf numFmtId="0" fontId="20" fillId="3" borderId="1" xfId="0" applyFont="1" applyFill="1" applyBorder="1" applyAlignment="1">
      <alignment horizontal="justify" vertical="top" wrapText="1"/>
    </xf>
    <xf numFmtId="0" fontId="20" fillId="3" borderId="2" xfId="0" applyFont="1" applyFill="1" applyBorder="1" applyAlignment="1">
      <alignment horizontal="justify" vertical="top" wrapText="1"/>
    </xf>
    <xf numFmtId="0" fontId="20" fillId="3" borderId="3" xfId="0" applyFont="1" applyFill="1" applyBorder="1" applyAlignment="1">
      <alignment horizontal="justify" vertical="top" wrapText="1"/>
    </xf>
    <xf numFmtId="0" fontId="20" fillId="3" borderId="21" xfId="0" applyFont="1" applyFill="1" applyBorder="1" applyAlignment="1">
      <alignment horizontal="justify" vertical="top" wrapText="1"/>
    </xf>
    <xf numFmtId="0" fontId="20" fillId="3" borderId="13" xfId="0" applyFont="1" applyFill="1" applyBorder="1" applyAlignment="1">
      <alignment horizontal="justify" vertical="top" wrapText="1"/>
    </xf>
    <xf numFmtId="0" fontId="20" fillId="3" borderId="14" xfId="0" applyFont="1" applyFill="1" applyBorder="1" applyAlignment="1">
      <alignment horizontal="justify" vertical="top" wrapText="1"/>
    </xf>
    <xf numFmtId="0" fontId="40" fillId="15" borderId="6" xfId="1" applyFont="1" applyFill="1" applyBorder="1" applyAlignment="1">
      <alignment horizontal="center" vertical="center" wrapText="1"/>
    </xf>
    <xf numFmtId="0" fontId="40" fillId="15" borderId="7" xfId="1" applyFont="1" applyFill="1" applyBorder="1" applyAlignment="1">
      <alignment horizontal="center" vertical="center" wrapText="1"/>
    </xf>
    <xf numFmtId="0" fontId="40" fillId="15" borderId="8" xfId="1" applyFont="1" applyFill="1" applyBorder="1" applyAlignment="1">
      <alignment horizontal="center" vertical="center" wrapText="1"/>
    </xf>
    <xf numFmtId="0" fontId="20" fillId="3" borderId="1" xfId="0" applyFont="1" applyFill="1" applyBorder="1" applyAlignment="1">
      <alignment vertical="top" wrapText="1"/>
    </xf>
    <xf numFmtId="0" fontId="20" fillId="3" borderId="2" xfId="0" applyFont="1" applyFill="1" applyBorder="1" applyAlignment="1">
      <alignment vertical="top" wrapText="1"/>
    </xf>
    <xf numFmtId="0" fontId="20" fillId="3" borderId="3" xfId="0" applyFont="1" applyFill="1" applyBorder="1" applyAlignment="1">
      <alignment vertical="top" wrapText="1"/>
    </xf>
    <xf numFmtId="0" fontId="20" fillId="3" borderId="21" xfId="0" applyFont="1" applyFill="1" applyBorder="1" applyAlignment="1">
      <alignment vertical="top" wrapText="1"/>
    </xf>
    <xf numFmtId="0" fontId="20" fillId="3" borderId="13" xfId="0" applyFont="1" applyFill="1" applyBorder="1" applyAlignment="1">
      <alignment vertical="top" wrapText="1"/>
    </xf>
    <xf numFmtId="0" fontId="20" fillId="3" borderId="14" xfId="0" applyFont="1" applyFill="1" applyBorder="1" applyAlignment="1">
      <alignment vertical="top" wrapText="1"/>
    </xf>
    <xf numFmtId="0" fontId="27" fillId="15" borderId="6" xfId="0" applyFont="1" applyFill="1" applyBorder="1" applyAlignment="1">
      <alignment horizontal="center" vertical="center"/>
    </xf>
    <xf numFmtId="0" fontId="27" fillId="15" borderId="7" xfId="0" applyFont="1" applyFill="1" applyBorder="1" applyAlignment="1">
      <alignment horizontal="center" vertical="center"/>
    </xf>
    <xf numFmtId="0" fontId="27" fillId="15" borderId="8" xfId="0" applyFont="1" applyFill="1" applyBorder="1" applyAlignment="1">
      <alignment horizontal="center" vertical="center"/>
    </xf>
    <xf numFmtId="0" fontId="20" fillId="3" borderId="1" xfId="0" applyFont="1" applyFill="1" applyBorder="1" applyAlignment="1">
      <alignment horizontal="justify" wrapText="1"/>
    </xf>
    <xf numFmtId="0" fontId="20" fillId="3" borderId="2" xfId="0" applyFont="1" applyFill="1" applyBorder="1" applyAlignment="1">
      <alignment horizontal="justify" wrapText="1"/>
    </xf>
    <xf numFmtId="0" fontId="20" fillId="3" borderId="3" xfId="0" applyFont="1" applyFill="1" applyBorder="1" applyAlignment="1">
      <alignment horizontal="justify" wrapText="1"/>
    </xf>
    <xf numFmtId="0" fontId="20" fillId="3" borderId="6" xfId="0" applyFont="1" applyFill="1" applyBorder="1" applyAlignment="1">
      <alignment horizontal="justify" vertical="top" wrapText="1"/>
    </xf>
    <xf numFmtId="0" fontId="20" fillId="3" borderId="7" xfId="0" applyFont="1" applyFill="1" applyBorder="1" applyAlignment="1">
      <alignment horizontal="justify" vertical="top" wrapText="1"/>
    </xf>
    <xf numFmtId="0" fontId="20" fillId="3" borderId="8" xfId="0" applyFont="1" applyFill="1" applyBorder="1" applyAlignment="1">
      <alignment horizontal="justify" vertical="top" wrapText="1"/>
    </xf>
    <xf numFmtId="0" fontId="20" fillId="3" borderId="1" xfId="0" applyFont="1" applyFill="1" applyBorder="1" applyAlignment="1">
      <alignment horizontal="justify" vertical="center" wrapText="1"/>
    </xf>
    <xf numFmtId="0" fontId="20" fillId="3" borderId="2" xfId="0" applyFont="1" applyFill="1" applyBorder="1" applyAlignment="1">
      <alignment horizontal="justify" vertical="center" wrapText="1"/>
    </xf>
    <xf numFmtId="0" fontId="20" fillId="3" borderId="3" xfId="0" applyFont="1" applyFill="1" applyBorder="1" applyAlignment="1">
      <alignment horizontal="justify" vertical="center" wrapText="1"/>
    </xf>
    <xf numFmtId="0" fontId="20" fillId="3" borderId="21" xfId="0" applyFont="1" applyFill="1" applyBorder="1" applyAlignment="1">
      <alignment horizontal="justify" vertical="center" wrapText="1"/>
    </xf>
    <xf numFmtId="0" fontId="20" fillId="3" borderId="13" xfId="0" applyFont="1" applyFill="1" applyBorder="1" applyAlignment="1">
      <alignment horizontal="justify" vertical="center" wrapText="1"/>
    </xf>
    <xf numFmtId="0" fontId="20" fillId="3" borderId="14" xfId="0" applyFont="1" applyFill="1" applyBorder="1" applyAlignment="1">
      <alignment horizontal="justify" vertical="center" wrapText="1"/>
    </xf>
    <xf numFmtId="0" fontId="42" fillId="3" borderId="1" xfId="1" applyFont="1" applyFill="1" applyBorder="1" applyAlignment="1">
      <alignment horizontal="center" vertical="center"/>
    </xf>
    <xf numFmtId="0" fontId="42" fillId="3" borderId="2" xfId="1" applyFont="1" applyFill="1" applyBorder="1" applyAlignment="1">
      <alignment horizontal="center" vertical="center"/>
    </xf>
    <xf numFmtId="0" fontId="42" fillId="3" borderId="3" xfId="1" applyFont="1" applyFill="1" applyBorder="1" applyAlignment="1">
      <alignment horizontal="center" vertical="center"/>
    </xf>
    <xf numFmtId="0" fontId="42" fillId="3" borderId="21" xfId="1" applyFont="1" applyFill="1" applyBorder="1" applyAlignment="1">
      <alignment horizontal="center" vertical="center"/>
    </xf>
    <xf numFmtId="0" fontId="42" fillId="3" borderId="13" xfId="1" applyFont="1" applyFill="1" applyBorder="1" applyAlignment="1">
      <alignment horizontal="center" vertical="center"/>
    </xf>
    <xf numFmtId="0" fontId="42" fillId="3" borderId="14" xfId="1" applyFont="1" applyFill="1" applyBorder="1" applyAlignment="1">
      <alignment horizontal="center" vertical="center"/>
    </xf>
    <xf numFmtId="0" fontId="13" fillId="8" borderId="34"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27"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13" fillId="8" borderId="44" xfId="0" applyFont="1" applyFill="1" applyBorder="1" applyAlignment="1">
      <alignment horizontal="center" vertical="center" wrapText="1"/>
    </xf>
    <xf numFmtId="0" fontId="13" fillId="8" borderId="45" xfId="0" applyFont="1" applyFill="1" applyBorder="1" applyAlignment="1">
      <alignment horizontal="center" vertical="center" wrapText="1"/>
    </xf>
    <xf numFmtId="0" fontId="13" fillId="8" borderId="46"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6" fillId="8" borderId="11"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21"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3" borderId="26"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26" xfId="0" applyFont="1" applyFill="1" applyBorder="1" applyAlignment="1">
      <alignment horizontal="center" vertical="top" wrapText="1"/>
    </xf>
    <xf numFmtId="0" fontId="11" fillId="3" borderId="19" xfId="0" applyFont="1" applyFill="1" applyBorder="1" applyAlignment="1">
      <alignment horizontal="center" vertical="top" wrapText="1"/>
    </xf>
    <xf numFmtId="0" fontId="11" fillId="0" borderId="19" xfId="0" applyFont="1" applyBorder="1" applyAlignment="1">
      <alignment horizontal="center" vertical="center"/>
    </xf>
    <xf numFmtId="0" fontId="11" fillId="3" borderId="27"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6" fillId="8" borderId="15" xfId="0" applyFont="1" applyFill="1" applyBorder="1" applyAlignment="1">
      <alignment horizontal="center"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6" fillId="8" borderId="3"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19" xfId="0" applyFont="1" applyFill="1" applyBorder="1" applyAlignment="1">
      <alignment horizontal="center" vertical="center"/>
    </xf>
    <xf numFmtId="0" fontId="9" fillId="0" borderId="29" xfId="0" applyFont="1" applyBorder="1" applyAlignment="1">
      <alignment horizontal="center" vertical="center"/>
    </xf>
    <xf numFmtId="0" fontId="9" fillId="3" borderId="19"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5" xfId="0" applyFont="1" applyFill="1" applyBorder="1" applyAlignment="1">
      <alignment horizontal="center" vertical="top" wrapText="1"/>
    </xf>
    <xf numFmtId="0" fontId="8" fillId="3" borderId="29" xfId="0" applyFont="1" applyFill="1" applyBorder="1" applyAlignment="1">
      <alignment horizontal="center" vertical="top" wrapText="1"/>
    </xf>
  </cellXfs>
  <cellStyles count="13">
    <cellStyle name="Millares" xfId="4" builtinId="3"/>
    <cellStyle name="Millares [0] 2" xfId="9" xr:uid="{40496074-D867-4885-9677-753152F54249}"/>
    <cellStyle name="Millares 2" xfId="7" xr:uid="{627891C1-49FB-42F1-8679-8563F75C930B}"/>
    <cellStyle name="Millares 3" xfId="6" xr:uid="{2D59539E-D4C6-4700-A9F9-B075429CC9C1}"/>
    <cellStyle name="Millares 4" xfId="10" xr:uid="{DFC54CBC-F333-4B7A-B93D-DF1D34C4E91F}"/>
    <cellStyle name="Millares 5" xfId="8" xr:uid="{322A0E6F-A3E1-4275-8E38-026D14DB4982}"/>
    <cellStyle name="Moneda" xfId="12" builtinId="4"/>
    <cellStyle name="Moneda [0]" xfId="11" builtinId="7"/>
    <cellStyle name="Normal" xfId="0" builtinId="0"/>
    <cellStyle name="Normal 2" xfId="2" xr:uid="{00000000-0005-0000-0000-000002000000}"/>
    <cellStyle name="Normal 3" xfId="1" xr:uid="{00000000-0005-0000-0000-000003000000}"/>
    <cellStyle name="Normal 6" xfId="3" xr:uid="{00000000-0005-0000-0000-000004000000}"/>
    <cellStyle name="Normal_CADENA DE VALOR - CATÁLOGO DE PROCESOS" xfId="5" xr:uid="{208C922D-DEC7-4F56-A000-D521C5133C67}"/>
  </cellStyles>
  <dxfs count="52">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s>
  <tableStyles count="0" defaultTableStyle="TableStyleMedium2" defaultPivotStyle="PivotStyleLight16"/>
  <colors>
    <mruColors>
      <color rgb="FF962D46"/>
      <color rgb="FFFFFF99"/>
      <color rgb="FF962F32"/>
      <color rgb="FF962F46"/>
      <color rgb="FF0432FF"/>
      <color rgb="FF003399"/>
      <color rgb="FF00FF00"/>
      <color rgb="FF76D6FF"/>
      <color rgb="FFFFD579"/>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9524</xdr:colOff>
      <xdr:row>44</xdr:row>
      <xdr:rowOff>50851</xdr:rowOff>
    </xdr:from>
    <xdr:to>
      <xdr:col>12</xdr:col>
      <xdr:colOff>696256</xdr:colOff>
      <xdr:row>48</xdr:row>
      <xdr:rowOff>161924</xdr:rowOff>
    </xdr:to>
    <xdr:pic>
      <xdr:nvPicPr>
        <xdr:cNvPr id="2" name="Imagen 1">
          <a:extLst>
            <a:ext uri="{FF2B5EF4-FFF2-40B4-BE49-F238E27FC236}">
              <a16:creationId xmlns:a16="http://schemas.microsoft.com/office/drawing/2014/main" id="{3B6AB836-EAA2-40CF-81A0-29CD5DC5075E}"/>
            </a:ext>
          </a:extLst>
        </xdr:cNvPr>
        <xdr:cNvPicPr>
          <a:picLocks noChangeAspect="1"/>
        </xdr:cNvPicPr>
      </xdr:nvPicPr>
      <xdr:blipFill rotWithShape="1">
        <a:blip xmlns:r="http://schemas.openxmlformats.org/officeDocument/2006/relationships" r:embed="rId1"/>
        <a:srcRect l="29067" t="48054" r="30299" b="30719"/>
        <a:stretch/>
      </xdr:blipFill>
      <xdr:spPr>
        <a:xfrm>
          <a:off x="10944224" y="7099351"/>
          <a:ext cx="2972732" cy="873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234173</xdr:colOff>
      <xdr:row>1</xdr:row>
      <xdr:rowOff>226845</xdr:rowOff>
    </xdr:from>
    <xdr:to>
      <xdr:col>2</xdr:col>
      <xdr:colOff>2396840</xdr:colOff>
      <xdr:row>3</xdr:row>
      <xdr:rowOff>398317</xdr:rowOff>
    </xdr:to>
    <xdr:pic>
      <xdr:nvPicPr>
        <xdr:cNvPr id="2" name="Imagen 1">
          <a:extLst>
            <a:ext uri="{FF2B5EF4-FFF2-40B4-BE49-F238E27FC236}">
              <a16:creationId xmlns:a16="http://schemas.microsoft.com/office/drawing/2014/main" id="{C32AACA3-EE5B-D2A7-8374-77B760538B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0037" y="382709"/>
          <a:ext cx="2439758" cy="1418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421409</xdr:colOff>
      <xdr:row>1</xdr:row>
      <xdr:rowOff>247073</xdr:rowOff>
    </xdr:from>
    <xdr:to>
      <xdr:col>2</xdr:col>
      <xdr:colOff>2100017</xdr:colOff>
      <xdr:row>3</xdr:row>
      <xdr:rowOff>9573</xdr:rowOff>
    </xdr:to>
    <xdr:pic>
      <xdr:nvPicPr>
        <xdr:cNvPr id="2" name="Imagen 1">
          <a:extLst>
            <a:ext uri="{FF2B5EF4-FFF2-40B4-BE49-F238E27FC236}">
              <a16:creationId xmlns:a16="http://schemas.microsoft.com/office/drawing/2014/main" id="{CF65B5A5-46A4-2244-A2DA-3D998582D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4364" y="420255"/>
          <a:ext cx="1678608" cy="9747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349841</xdr:colOff>
      <xdr:row>1</xdr:row>
      <xdr:rowOff>247296</xdr:rowOff>
    </xdr:from>
    <xdr:to>
      <xdr:col>2</xdr:col>
      <xdr:colOff>2028449</xdr:colOff>
      <xdr:row>3</xdr:row>
      <xdr:rowOff>13375</xdr:rowOff>
    </xdr:to>
    <xdr:pic>
      <xdr:nvPicPr>
        <xdr:cNvPr id="2" name="Imagen 1">
          <a:extLst>
            <a:ext uri="{FF2B5EF4-FFF2-40B4-BE49-F238E27FC236}">
              <a16:creationId xmlns:a16="http://schemas.microsoft.com/office/drawing/2014/main" id="{AEF0EB3C-FFAE-424E-8986-573BD40CB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5270" y="424189"/>
          <a:ext cx="1678608" cy="977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431485</xdr:colOff>
      <xdr:row>1</xdr:row>
      <xdr:rowOff>247296</xdr:rowOff>
    </xdr:from>
    <xdr:to>
      <xdr:col>2</xdr:col>
      <xdr:colOff>2110093</xdr:colOff>
      <xdr:row>3</xdr:row>
      <xdr:rowOff>13375</xdr:rowOff>
    </xdr:to>
    <xdr:pic>
      <xdr:nvPicPr>
        <xdr:cNvPr id="2" name="Imagen 1">
          <a:extLst>
            <a:ext uri="{FF2B5EF4-FFF2-40B4-BE49-F238E27FC236}">
              <a16:creationId xmlns:a16="http://schemas.microsoft.com/office/drawing/2014/main" id="{BE64CB40-E268-41A7-B973-534B40A7B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6914" y="424189"/>
          <a:ext cx="1678608" cy="9771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5"/>
  <sheetViews>
    <sheetView showGridLines="0" zoomScale="90" zoomScaleNormal="90" workbookViewId="0">
      <selection activeCell="S17" sqref="S17"/>
    </sheetView>
  </sheetViews>
  <sheetFormatPr baseColWidth="10" defaultColWidth="11.42578125" defaultRowHeight="12.75" x14ac:dyDescent="0.2"/>
  <cols>
    <col min="1" max="16384" width="11.42578125" style="162"/>
  </cols>
  <sheetData>
    <row r="1" spans="2:12" ht="13.5" thickBot="1" x14ac:dyDescent="0.25"/>
    <row r="2" spans="2:12" ht="36.75" customHeight="1" thickBot="1" x14ac:dyDescent="0.25">
      <c r="B2" s="216" t="s">
        <v>0</v>
      </c>
      <c r="C2" s="217"/>
      <c r="D2" s="217"/>
      <c r="E2" s="217"/>
      <c r="F2" s="217"/>
      <c r="G2" s="217"/>
      <c r="H2" s="217"/>
      <c r="I2" s="217"/>
      <c r="J2" s="217"/>
      <c r="K2" s="217"/>
      <c r="L2" s="218"/>
    </row>
    <row r="3" spans="2:12" ht="5.0999999999999996" customHeight="1" thickBot="1" x14ac:dyDescent="0.25"/>
    <row r="4" spans="2:12" ht="20.100000000000001" customHeight="1" thickBot="1" x14ac:dyDescent="0.25">
      <c r="B4" s="219" t="s">
        <v>1</v>
      </c>
      <c r="C4" s="229"/>
      <c r="D4" s="229"/>
      <c r="E4" s="229"/>
      <c r="F4" s="229"/>
      <c r="G4" s="229"/>
      <c r="H4" s="229"/>
      <c r="I4" s="229"/>
      <c r="J4" s="229"/>
      <c r="K4" s="229"/>
      <c r="L4" s="230"/>
    </row>
    <row r="5" spans="2:12" ht="5.0999999999999996" customHeight="1" thickBot="1" x14ac:dyDescent="0.25"/>
    <row r="6" spans="2:12" ht="20.100000000000001" customHeight="1" x14ac:dyDescent="0.2">
      <c r="B6" s="231" t="s">
        <v>2</v>
      </c>
      <c r="C6" s="232"/>
      <c r="D6" s="232"/>
      <c r="E6" s="232"/>
      <c r="F6" s="232"/>
      <c r="G6" s="232"/>
      <c r="H6" s="232"/>
      <c r="I6" s="232"/>
      <c r="J6" s="232"/>
      <c r="K6" s="232"/>
      <c r="L6" s="233"/>
    </row>
    <row r="7" spans="2:12" ht="20.100000000000001" customHeight="1" thickBot="1" x14ac:dyDescent="0.25">
      <c r="B7" s="234"/>
      <c r="C7" s="235"/>
      <c r="D7" s="235"/>
      <c r="E7" s="235"/>
      <c r="F7" s="235"/>
      <c r="G7" s="235"/>
      <c r="H7" s="235"/>
      <c r="I7" s="235"/>
      <c r="J7" s="235"/>
      <c r="K7" s="235"/>
      <c r="L7" s="236"/>
    </row>
    <row r="8" spans="2:12" ht="5.0999999999999996" customHeight="1" thickBot="1" x14ac:dyDescent="0.25">
      <c r="B8" s="164"/>
      <c r="C8" s="164"/>
      <c r="D8" s="164"/>
      <c r="E8" s="164"/>
      <c r="F8" s="164"/>
      <c r="G8" s="164"/>
      <c r="H8" s="164"/>
      <c r="I8" s="164"/>
      <c r="J8" s="164"/>
      <c r="K8" s="164"/>
      <c r="L8" s="164"/>
    </row>
    <row r="9" spans="2:12" ht="20.100000000000001" customHeight="1" thickBot="1" x14ac:dyDescent="0.25">
      <c r="B9" s="228" t="s">
        <v>3</v>
      </c>
      <c r="C9" s="229"/>
      <c r="D9" s="229"/>
      <c r="E9" s="229"/>
      <c r="F9" s="229"/>
      <c r="G9" s="229"/>
      <c r="H9" s="229"/>
      <c r="I9" s="229"/>
      <c r="J9" s="229"/>
      <c r="K9" s="229"/>
      <c r="L9" s="230"/>
    </row>
    <row r="10" spans="2:12" ht="5.0999999999999996" customHeight="1" thickBot="1" x14ac:dyDescent="0.25"/>
    <row r="11" spans="2:12" ht="20.100000000000001" customHeight="1" x14ac:dyDescent="0.2">
      <c r="B11" s="231" t="s">
        <v>4</v>
      </c>
      <c r="C11" s="232"/>
      <c r="D11" s="232"/>
      <c r="E11" s="232"/>
      <c r="F11" s="232"/>
      <c r="G11" s="232"/>
      <c r="H11" s="232"/>
      <c r="I11" s="232"/>
      <c r="J11" s="232"/>
      <c r="K11" s="232"/>
      <c r="L11" s="233"/>
    </row>
    <row r="12" spans="2:12" ht="20.100000000000001" customHeight="1" thickBot="1" x14ac:dyDescent="0.25">
      <c r="B12" s="234"/>
      <c r="C12" s="235"/>
      <c r="D12" s="235"/>
      <c r="E12" s="235"/>
      <c r="F12" s="235"/>
      <c r="G12" s="235"/>
      <c r="H12" s="235"/>
      <c r="I12" s="235"/>
      <c r="J12" s="235"/>
      <c r="K12" s="235"/>
      <c r="L12" s="236"/>
    </row>
    <row r="13" spans="2:12" ht="5.0999999999999996" customHeight="1" thickBot="1" x14ac:dyDescent="0.25"/>
    <row r="14" spans="2:12" ht="20.100000000000001" customHeight="1" thickBot="1" x14ac:dyDescent="0.25">
      <c r="B14" s="219" t="s">
        <v>5</v>
      </c>
      <c r="C14" s="220"/>
      <c r="D14" s="220"/>
      <c r="E14" s="220"/>
      <c r="F14" s="220"/>
      <c r="G14" s="220"/>
      <c r="H14" s="220"/>
      <c r="I14" s="220"/>
      <c r="J14" s="220"/>
      <c r="K14" s="220"/>
      <c r="L14" s="221"/>
    </row>
    <row r="15" spans="2:12" ht="5.0999999999999996" customHeight="1" thickBot="1" x14ac:dyDescent="0.25"/>
    <row r="16" spans="2:12" ht="20.100000000000001" customHeight="1" x14ac:dyDescent="0.2">
      <c r="B16" s="231" t="s">
        <v>6</v>
      </c>
      <c r="C16" s="232"/>
      <c r="D16" s="232"/>
      <c r="E16" s="232"/>
      <c r="F16" s="232"/>
      <c r="G16" s="232"/>
      <c r="H16" s="232"/>
      <c r="I16" s="232"/>
      <c r="J16" s="232"/>
      <c r="K16" s="232"/>
      <c r="L16" s="233"/>
    </row>
    <row r="17" spans="2:12" ht="20.100000000000001" customHeight="1" thickBot="1" x14ac:dyDescent="0.25">
      <c r="B17" s="234"/>
      <c r="C17" s="235"/>
      <c r="D17" s="235"/>
      <c r="E17" s="235"/>
      <c r="F17" s="235"/>
      <c r="G17" s="235"/>
      <c r="H17" s="235"/>
      <c r="I17" s="235"/>
      <c r="J17" s="235"/>
      <c r="K17" s="235"/>
      <c r="L17" s="236"/>
    </row>
    <row r="18" spans="2:12" ht="5.0999999999999996" customHeight="1" thickBot="1" x14ac:dyDescent="0.25"/>
    <row r="19" spans="2:12" ht="20.100000000000001" customHeight="1" thickBot="1" x14ac:dyDescent="0.25">
      <c r="B19" s="219" t="s">
        <v>7</v>
      </c>
      <c r="C19" s="220"/>
      <c r="D19" s="220"/>
      <c r="E19" s="220"/>
      <c r="F19" s="220"/>
      <c r="G19" s="220"/>
      <c r="H19" s="220"/>
      <c r="I19" s="220"/>
      <c r="J19" s="220"/>
      <c r="K19" s="220"/>
      <c r="L19" s="221"/>
    </row>
    <row r="20" spans="2:12" ht="5.0999999999999996" customHeight="1" thickBot="1" x14ac:dyDescent="0.25"/>
    <row r="21" spans="2:12" ht="20.100000000000001" customHeight="1" x14ac:dyDescent="0.2">
      <c r="B21" s="231" t="s">
        <v>8</v>
      </c>
      <c r="C21" s="232"/>
      <c r="D21" s="232"/>
      <c r="E21" s="232"/>
      <c r="F21" s="232"/>
      <c r="G21" s="232"/>
      <c r="H21" s="232"/>
      <c r="I21" s="232"/>
      <c r="J21" s="232"/>
      <c r="K21" s="232"/>
      <c r="L21" s="233"/>
    </row>
    <row r="22" spans="2:12" ht="20.100000000000001" customHeight="1" thickBot="1" x14ac:dyDescent="0.25">
      <c r="B22" s="234"/>
      <c r="C22" s="235"/>
      <c r="D22" s="235"/>
      <c r="E22" s="235"/>
      <c r="F22" s="235"/>
      <c r="G22" s="235"/>
      <c r="H22" s="235"/>
      <c r="I22" s="235"/>
      <c r="J22" s="235"/>
      <c r="K22" s="235"/>
      <c r="L22" s="236"/>
    </row>
    <row r="23" spans="2:12" ht="5.0999999999999996" customHeight="1" thickBot="1" x14ac:dyDescent="0.25"/>
    <row r="24" spans="2:12" ht="20.100000000000001" customHeight="1" thickBot="1" x14ac:dyDescent="0.25">
      <c r="B24" s="237" t="s">
        <v>9</v>
      </c>
      <c r="C24" s="238"/>
      <c r="D24" s="238"/>
      <c r="E24" s="238"/>
      <c r="F24" s="238"/>
      <c r="G24" s="238"/>
      <c r="H24" s="238"/>
      <c r="I24" s="238"/>
      <c r="J24" s="238"/>
      <c r="K24" s="238"/>
      <c r="L24" s="239"/>
    </row>
    <row r="25" spans="2:12" ht="5.0999999999999996" customHeight="1" thickBot="1" x14ac:dyDescent="0.25"/>
    <row r="26" spans="2:12" ht="80.099999999999994" customHeight="1" thickBot="1" x14ac:dyDescent="0.25">
      <c r="B26" s="243" t="s">
        <v>10</v>
      </c>
      <c r="C26" s="244"/>
      <c r="D26" s="244"/>
      <c r="E26" s="244"/>
      <c r="F26" s="244"/>
      <c r="G26" s="244"/>
      <c r="H26" s="244"/>
      <c r="I26" s="244"/>
      <c r="J26" s="244"/>
      <c r="K26" s="244"/>
      <c r="L26" s="245"/>
    </row>
    <row r="27" spans="2:12" ht="5.0999999999999996" customHeight="1" thickBot="1" x14ac:dyDescent="0.25">
      <c r="C27" s="165"/>
      <c r="D27" s="165"/>
      <c r="E27" s="165"/>
      <c r="F27" s="165"/>
      <c r="G27" s="165"/>
      <c r="H27" s="165"/>
      <c r="I27" s="165"/>
      <c r="J27" s="165"/>
    </row>
    <row r="28" spans="2:12" ht="20.100000000000001" customHeight="1" thickBot="1" x14ac:dyDescent="0.25">
      <c r="B28" s="219" t="s">
        <v>11</v>
      </c>
      <c r="C28" s="220"/>
      <c r="D28" s="220"/>
      <c r="E28" s="220"/>
      <c r="F28" s="220"/>
      <c r="G28" s="220"/>
      <c r="H28" s="220"/>
      <c r="I28" s="220"/>
      <c r="J28" s="220"/>
      <c r="K28" s="220"/>
      <c r="L28" s="221"/>
    </row>
    <row r="29" spans="2:12" ht="5.0999999999999996" customHeight="1" thickBot="1" x14ac:dyDescent="0.25"/>
    <row r="30" spans="2:12" ht="20.100000000000001" customHeight="1" x14ac:dyDescent="0.2">
      <c r="B30" s="231" t="s">
        <v>12</v>
      </c>
      <c r="C30" s="232"/>
      <c r="D30" s="232"/>
      <c r="E30" s="232"/>
      <c r="F30" s="232"/>
      <c r="G30" s="232"/>
      <c r="H30" s="232"/>
      <c r="I30" s="232"/>
      <c r="J30" s="232"/>
      <c r="K30" s="232"/>
      <c r="L30" s="233"/>
    </row>
    <row r="31" spans="2:12" ht="20.100000000000001" customHeight="1" thickBot="1" x14ac:dyDescent="0.25">
      <c r="B31" s="234"/>
      <c r="C31" s="235"/>
      <c r="D31" s="235"/>
      <c r="E31" s="235"/>
      <c r="F31" s="235"/>
      <c r="G31" s="235"/>
      <c r="H31" s="235"/>
      <c r="I31" s="235"/>
      <c r="J31" s="235"/>
      <c r="K31" s="235"/>
      <c r="L31" s="236"/>
    </row>
    <row r="32" spans="2:12" ht="5.0999999999999996" customHeight="1" thickBot="1" x14ac:dyDescent="0.25">
      <c r="C32" s="165"/>
      <c r="D32" s="165"/>
      <c r="E32" s="165"/>
      <c r="F32" s="165"/>
      <c r="G32" s="165"/>
      <c r="H32" s="165"/>
      <c r="I32" s="165"/>
      <c r="J32" s="165"/>
      <c r="K32" s="165"/>
      <c r="L32" s="166"/>
    </row>
    <row r="33" spans="2:12" s="163" customFormat="1" ht="20.100000000000001" customHeight="1" thickBot="1" x14ac:dyDescent="0.3">
      <c r="B33" s="219" t="s">
        <v>13</v>
      </c>
      <c r="C33" s="220"/>
      <c r="D33" s="220"/>
      <c r="E33" s="220"/>
      <c r="F33" s="220"/>
      <c r="G33" s="220"/>
      <c r="H33" s="220"/>
      <c r="I33" s="220"/>
      <c r="J33" s="220"/>
      <c r="K33" s="220"/>
      <c r="L33" s="221"/>
    </row>
    <row r="34" spans="2:12" ht="5.0999999999999996" customHeight="1" thickBot="1" x14ac:dyDescent="0.25"/>
    <row r="35" spans="2:12" ht="20.100000000000001" customHeight="1" x14ac:dyDescent="0.2">
      <c r="B35" s="222" t="s">
        <v>14</v>
      </c>
      <c r="C35" s="223"/>
      <c r="D35" s="223"/>
      <c r="E35" s="223"/>
      <c r="F35" s="223"/>
      <c r="G35" s="223"/>
      <c r="H35" s="223"/>
      <c r="I35" s="223"/>
      <c r="J35" s="223"/>
      <c r="K35" s="223"/>
      <c r="L35" s="224"/>
    </row>
    <row r="36" spans="2:12" ht="20.100000000000001" customHeight="1" thickBot="1" x14ac:dyDescent="0.25">
      <c r="B36" s="225"/>
      <c r="C36" s="226"/>
      <c r="D36" s="226"/>
      <c r="E36" s="226"/>
      <c r="F36" s="226"/>
      <c r="G36" s="226"/>
      <c r="H36" s="226"/>
      <c r="I36" s="226"/>
      <c r="J36" s="226"/>
      <c r="K36" s="226"/>
      <c r="L36" s="227"/>
    </row>
    <row r="37" spans="2:12" ht="5.0999999999999996" customHeight="1" thickBot="1" x14ac:dyDescent="0.25"/>
    <row r="38" spans="2:12" s="163" customFormat="1" ht="20.100000000000001" customHeight="1" thickBot="1" x14ac:dyDescent="0.3">
      <c r="B38" s="219" t="s">
        <v>15</v>
      </c>
      <c r="C38" s="220"/>
      <c r="D38" s="220"/>
      <c r="E38" s="220"/>
      <c r="F38" s="220"/>
      <c r="G38" s="220"/>
      <c r="H38" s="220"/>
      <c r="I38" s="220"/>
      <c r="J38" s="220"/>
      <c r="K38" s="220"/>
      <c r="L38" s="221"/>
    </row>
    <row r="39" spans="2:12" ht="5.0999999999999996" customHeight="1" thickBot="1" x14ac:dyDescent="0.25"/>
    <row r="40" spans="2:12" ht="20.100000000000001" customHeight="1" x14ac:dyDescent="0.2">
      <c r="B40" s="222" t="s">
        <v>16</v>
      </c>
      <c r="C40" s="223"/>
      <c r="D40" s="223"/>
      <c r="E40" s="223"/>
      <c r="F40" s="223"/>
      <c r="G40" s="223"/>
      <c r="H40" s="223"/>
      <c r="I40" s="223"/>
      <c r="J40" s="223"/>
      <c r="K40" s="223"/>
      <c r="L40" s="224"/>
    </row>
    <row r="41" spans="2:12" ht="20.100000000000001" customHeight="1" thickBot="1" x14ac:dyDescent="0.25">
      <c r="B41" s="225"/>
      <c r="C41" s="226"/>
      <c r="D41" s="226"/>
      <c r="E41" s="226"/>
      <c r="F41" s="226"/>
      <c r="G41" s="226"/>
      <c r="H41" s="226"/>
      <c r="I41" s="226"/>
      <c r="J41" s="226"/>
      <c r="K41" s="226"/>
      <c r="L41" s="227"/>
    </row>
    <row r="42" spans="2:12" ht="5.0999999999999996" customHeight="1" thickBot="1" x14ac:dyDescent="0.25"/>
    <row r="43" spans="2:12" ht="20.100000000000001" customHeight="1" thickBot="1" x14ac:dyDescent="0.25">
      <c r="B43" s="237" t="s">
        <v>17</v>
      </c>
      <c r="C43" s="238"/>
      <c r="D43" s="238"/>
      <c r="E43" s="238"/>
      <c r="F43" s="238"/>
      <c r="G43" s="238"/>
      <c r="H43" s="238"/>
      <c r="I43" s="238"/>
      <c r="J43" s="238"/>
      <c r="K43" s="238"/>
      <c r="L43" s="239"/>
    </row>
    <row r="44" spans="2:12" ht="5.0999999999999996" customHeight="1" thickBot="1" x14ac:dyDescent="0.25"/>
    <row r="45" spans="2:12" ht="35.1" customHeight="1" x14ac:dyDescent="0.2">
      <c r="B45" s="240" t="s">
        <v>18</v>
      </c>
      <c r="C45" s="241"/>
      <c r="D45" s="241"/>
      <c r="E45" s="241"/>
      <c r="F45" s="241"/>
      <c r="G45" s="241"/>
      <c r="H45" s="241"/>
      <c r="I45" s="241"/>
      <c r="J45" s="241"/>
      <c r="K45" s="241"/>
      <c r="L45" s="242"/>
    </row>
    <row r="46" spans="2:12" ht="5.0999999999999996" customHeight="1" thickBot="1" x14ac:dyDescent="0.25"/>
    <row r="47" spans="2:12" ht="20.100000000000001" customHeight="1" thickBot="1" x14ac:dyDescent="0.25">
      <c r="B47" s="237" t="s">
        <v>19</v>
      </c>
      <c r="C47" s="238"/>
      <c r="D47" s="238"/>
      <c r="E47" s="238"/>
      <c r="F47" s="238"/>
      <c r="G47" s="238"/>
      <c r="H47" s="238"/>
      <c r="I47" s="238"/>
      <c r="J47" s="238"/>
      <c r="K47" s="238"/>
      <c r="L47" s="239"/>
    </row>
    <row r="48" spans="2:12" ht="5.0999999999999996" customHeight="1" thickBot="1" x14ac:dyDescent="0.25"/>
    <row r="49" spans="2:12" ht="20.100000000000001" customHeight="1" x14ac:dyDescent="0.2">
      <c r="B49" s="246" t="s">
        <v>20</v>
      </c>
      <c r="C49" s="247"/>
      <c r="D49" s="247"/>
      <c r="E49" s="247"/>
      <c r="F49" s="247"/>
      <c r="G49" s="247"/>
      <c r="H49" s="247"/>
      <c r="I49" s="247"/>
      <c r="J49" s="247"/>
      <c r="K49" s="247"/>
      <c r="L49" s="248"/>
    </row>
    <row r="50" spans="2:12" ht="20.100000000000001" customHeight="1" thickBot="1" x14ac:dyDescent="0.25">
      <c r="B50" s="249"/>
      <c r="C50" s="250"/>
      <c r="D50" s="250"/>
      <c r="E50" s="250"/>
      <c r="F50" s="250"/>
      <c r="G50" s="250"/>
      <c r="H50" s="250"/>
      <c r="I50" s="250"/>
      <c r="J50" s="250"/>
      <c r="K50" s="250"/>
      <c r="L50" s="251"/>
    </row>
    <row r="51" spans="2:12" ht="5.0999999999999996" customHeight="1" thickBot="1" x14ac:dyDescent="0.25">
      <c r="B51" s="167"/>
    </row>
    <row r="52" spans="2:12" ht="20.100000000000001" customHeight="1" thickBot="1" x14ac:dyDescent="0.25">
      <c r="B52" s="219" t="s">
        <v>21</v>
      </c>
      <c r="C52" s="220"/>
      <c r="D52" s="220"/>
      <c r="E52" s="220"/>
      <c r="F52" s="220"/>
      <c r="G52" s="220"/>
      <c r="H52" s="220"/>
      <c r="I52" s="220"/>
      <c r="J52" s="220"/>
      <c r="K52" s="220"/>
      <c r="L52" s="221"/>
    </row>
    <row r="53" spans="2:12" ht="5.0999999999999996" customHeight="1" thickBot="1" x14ac:dyDescent="0.25"/>
    <row r="54" spans="2:12" ht="33" customHeight="1" x14ac:dyDescent="0.2">
      <c r="B54" s="231" t="s">
        <v>22</v>
      </c>
      <c r="C54" s="232"/>
      <c r="D54" s="232"/>
      <c r="E54" s="232"/>
      <c r="F54" s="232"/>
      <c r="G54" s="232"/>
      <c r="H54" s="232"/>
      <c r="I54" s="232"/>
      <c r="J54" s="232"/>
      <c r="K54" s="232"/>
      <c r="L54" s="233"/>
    </row>
    <row r="55" spans="2:12" ht="33" customHeight="1" thickBot="1" x14ac:dyDescent="0.25">
      <c r="B55" s="234"/>
      <c r="C55" s="235"/>
      <c r="D55" s="235"/>
      <c r="E55" s="235"/>
      <c r="F55" s="235"/>
      <c r="G55" s="235"/>
      <c r="H55" s="235"/>
      <c r="I55" s="235"/>
      <c r="J55" s="235"/>
      <c r="K55" s="235"/>
      <c r="L55" s="236"/>
    </row>
    <row r="56" spans="2:12" ht="5.0999999999999996" customHeight="1" thickBot="1" x14ac:dyDescent="0.25">
      <c r="C56" s="165"/>
      <c r="D56" s="165"/>
      <c r="E56" s="165"/>
      <c r="F56" s="165"/>
      <c r="G56" s="165"/>
      <c r="H56" s="165"/>
      <c r="I56" s="165"/>
      <c r="J56" s="165"/>
      <c r="K56" s="165"/>
      <c r="L56" s="166"/>
    </row>
    <row r="57" spans="2:12" ht="20.100000000000001" customHeight="1" thickBot="1" x14ac:dyDescent="0.25">
      <c r="B57" s="219" t="s">
        <v>23</v>
      </c>
      <c r="C57" s="220"/>
      <c r="D57" s="220"/>
      <c r="E57" s="220"/>
      <c r="F57" s="220"/>
      <c r="G57" s="220"/>
      <c r="H57" s="220"/>
      <c r="I57" s="220"/>
      <c r="J57" s="220"/>
      <c r="K57" s="220"/>
      <c r="L57" s="221"/>
    </row>
    <row r="58" spans="2:12" ht="5.0999999999999996" customHeight="1" thickBot="1" x14ac:dyDescent="0.25"/>
    <row r="59" spans="2:12" ht="20.100000000000001" customHeight="1" x14ac:dyDescent="0.2">
      <c r="B59" s="231" t="s">
        <v>24</v>
      </c>
      <c r="C59" s="232"/>
      <c r="D59" s="232"/>
      <c r="E59" s="232"/>
      <c r="F59" s="232"/>
      <c r="G59" s="232"/>
      <c r="H59" s="232"/>
      <c r="I59" s="232"/>
      <c r="J59" s="232"/>
      <c r="K59" s="232"/>
      <c r="L59" s="233"/>
    </row>
    <row r="60" spans="2:12" ht="20.100000000000001" customHeight="1" thickBot="1" x14ac:dyDescent="0.25">
      <c r="B60" s="234"/>
      <c r="C60" s="235"/>
      <c r="D60" s="235"/>
      <c r="E60" s="235"/>
      <c r="F60" s="235"/>
      <c r="G60" s="235"/>
      <c r="H60" s="235"/>
      <c r="I60" s="235"/>
      <c r="J60" s="235"/>
      <c r="K60" s="235"/>
      <c r="L60" s="236"/>
    </row>
    <row r="61" spans="2:12" ht="5.0999999999999996" customHeight="1" thickBot="1" x14ac:dyDescent="0.25"/>
    <row r="62" spans="2:12" ht="20.100000000000001" customHeight="1" thickBot="1" x14ac:dyDescent="0.25">
      <c r="B62" s="219" t="s">
        <v>25</v>
      </c>
      <c r="C62" s="220"/>
      <c r="D62" s="220"/>
      <c r="E62" s="220"/>
      <c r="F62" s="220"/>
      <c r="G62" s="220"/>
      <c r="H62" s="220"/>
      <c r="I62" s="220"/>
      <c r="J62" s="220"/>
      <c r="K62" s="220"/>
      <c r="L62" s="221"/>
    </row>
    <row r="63" spans="2:12" ht="5.0999999999999996" customHeight="1" thickBot="1" x14ac:dyDescent="0.25"/>
    <row r="64" spans="2:12" ht="20.100000000000001" customHeight="1" x14ac:dyDescent="0.2">
      <c r="B64" s="231" t="s">
        <v>26</v>
      </c>
      <c r="C64" s="232"/>
      <c r="D64" s="232"/>
      <c r="E64" s="232"/>
      <c r="F64" s="232"/>
      <c r="G64" s="232"/>
      <c r="H64" s="232"/>
      <c r="I64" s="232"/>
      <c r="J64" s="232"/>
      <c r="K64" s="232"/>
      <c r="L64" s="233"/>
    </row>
    <row r="65" spans="2:12" ht="20.100000000000001" customHeight="1" thickBot="1" x14ac:dyDescent="0.25">
      <c r="B65" s="234"/>
      <c r="C65" s="235"/>
      <c r="D65" s="235"/>
      <c r="E65" s="235"/>
      <c r="F65" s="235"/>
      <c r="G65" s="235"/>
      <c r="H65" s="235"/>
      <c r="I65" s="235"/>
      <c r="J65" s="235"/>
      <c r="K65" s="235"/>
      <c r="L65" s="236"/>
    </row>
    <row r="66" spans="2:12" ht="5.0999999999999996" customHeight="1" thickBot="1" x14ac:dyDescent="0.25"/>
    <row r="67" spans="2:12" ht="20.100000000000001" customHeight="1" thickBot="1" x14ac:dyDescent="0.25">
      <c r="B67" s="219" t="s">
        <v>27</v>
      </c>
      <c r="C67" s="220"/>
      <c r="D67" s="220"/>
      <c r="E67" s="220"/>
      <c r="F67" s="220"/>
      <c r="G67" s="220"/>
      <c r="H67" s="220"/>
      <c r="I67" s="220"/>
      <c r="J67" s="220"/>
      <c r="K67" s="220"/>
      <c r="L67" s="221"/>
    </row>
    <row r="68" spans="2:12" ht="5.0999999999999996" customHeight="1" thickBot="1" x14ac:dyDescent="0.25"/>
    <row r="69" spans="2:12" ht="20.100000000000001" customHeight="1" x14ac:dyDescent="0.2">
      <c r="B69" s="231" t="s">
        <v>28</v>
      </c>
      <c r="C69" s="232"/>
      <c r="D69" s="232"/>
      <c r="E69" s="232"/>
      <c r="F69" s="232"/>
      <c r="G69" s="232"/>
      <c r="H69" s="232"/>
      <c r="I69" s="232"/>
      <c r="J69" s="232"/>
      <c r="K69" s="232"/>
      <c r="L69" s="233"/>
    </row>
    <row r="70" spans="2:12" ht="20.100000000000001" customHeight="1" thickBot="1" x14ac:dyDescent="0.25">
      <c r="B70" s="234"/>
      <c r="C70" s="235"/>
      <c r="D70" s="235"/>
      <c r="E70" s="235"/>
      <c r="F70" s="235"/>
      <c r="G70" s="235"/>
      <c r="H70" s="235"/>
      <c r="I70" s="235"/>
      <c r="J70" s="235"/>
      <c r="K70" s="235"/>
      <c r="L70" s="236"/>
    </row>
    <row r="71" spans="2:12" ht="5.0999999999999996" customHeight="1" thickBot="1" x14ac:dyDescent="0.25"/>
    <row r="72" spans="2:12" ht="20.100000000000001" customHeight="1" thickBot="1" x14ac:dyDescent="0.25">
      <c r="B72" s="219" t="s">
        <v>29</v>
      </c>
      <c r="C72" s="220"/>
      <c r="D72" s="220"/>
      <c r="E72" s="220"/>
      <c r="F72" s="220"/>
      <c r="G72" s="220"/>
      <c r="H72" s="220"/>
      <c r="I72" s="220"/>
      <c r="J72" s="220"/>
      <c r="K72" s="220"/>
      <c r="L72" s="221"/>
    </row>
    <row r="73" spans="2:12" ht="5.0999999999999996" customHeight="1" thickBot="1" x14ac:dyDescent="0.25"/>
    <row r="74" spans="2:12" ht="20.100000000000001" customHeight="1" x14ac:dyDescent="0.2">
      <c r="B74" s="231" t="s">
        <v>30</v>
      </c>
      <c r="C74" s="232"/>
      <c r="D74" s="232"/>
      <c r="E74" s="232"/>
      <c r="F74" s="232"/>
      <c r="G74" s="232"/>
      <c r="H74" s="232"/>
      <c r="I74" s="232"/>
      <c r="J74" s="232"/>
      <c r="K74" s="232"/>
      <c r="L74" s="233"/>
    </row>
    <row r="75" spans="2:12" ht="20.100000000000001" customHeight="1" thickBot="1" x14ac:dyDescent="0.25">
      <c r="B75" s="234"/>
      <c r="C75" s="235"/>
      <c r="D75" s="235"/>
      <c r="E75" s="235"/>
      <c r="F75" s="235"/>
      <c r="G75" s="235"/>
      <c r="H75" s="235"/>
      <c r="I75" s="235"/>
      <c r="J75" s="235"/>
      <c r="K75" s="235"/>
      <c r="L75" s="236"/>
    </row>
  </sheetData>
  <mergeCells count="31">
    <mergeCell ref="B69:L70"/>
    <mergeCell ref="B72:L72"/>
    <mergeCell ref="B74:L75"/>
    <mergeCell ref="B47:L47"/>
    <mergeCell ref="B49:L50"/>
    <mergeCell ref="B54:L55"/>
    <mergeCell ref="B57:L57"/>
    <mergeCell ref="B59:L60"/>
    <mergeCell ref="B64:L65"/>
    <mergeCell ref="B67:L67"/>
    <mergeCell ref="B62:L62"/>
    <mergeCell ref="B52:L52"/>
    <mergeCell ref="B43:L43"/>
    <mergeCell ref="B45:L45"/>
    <mergeCell ref="B35:L36"/>
    <mergeCell ref="B30:L31"/>
    <mergeCell ref="B26:L26"/>
    <mergeCell ref="B2:L2"/>
    <mergeCell ref="B38:L38"/>
    <mergeCell ref="B40:L41"/>
    <mergeCell ref="B9:L9"/>
    <mergeCell ref="B11:L12"/>
    <mergeCell ref="B4:L4"/>
    <mergeCell ref="B6:L7"/>
    <mergeCell ref="B14:L14"/>
    <mergeCell ref="B16:L17"/>
    <mergeCell ref="B19:L19"/>
    <mergeCell ref="B21:L22"/>
    <mergeCell ref="B24:L24"/>
    <mergeCell ref="B28:L28"/>
    <mergeCell ref="B33:L33"/>
  </mergeCells>
  <phoneticPr fontId="14" type="noConversion"/>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66FE-2A78-4F40-B3EB-74443E064F0D}">
  <dimension ref="A2:J114"/>
  <sheetViews>
    <sheetView showGridLines="0" workbookViewId="0">
      <selection activeCell="Q26" sqref="Q26"/>
    </sheetView>
  </sheetViews>
  <sheetFormatPr baseColWidth="10" defaultColWidth="11.42578125" defaultRowHeight="15" x14ac:dyDescent="0.25"/>
  <cols>
    <col min="2" max="2" width="55.42578125" bestFit="1" customWidth="1"/>
    <col min="3" max="3" width="19.28515625" style="64" bestFit="1" customWidth="1"/>
    <col min="4" max="4" width="16.28515625" bestFit="1" customWidth="1"/>
    <col min="5" max="5" width="45" customWidth="1"/>
    <col min="6" max="6" width="18.28515625" bestFit="1" customWidth="1"/>
    <col min="7" max="7" width="19" customWidth="1"/>
  </cols>
  <sheetData>
    <row r="2" spans="1:5" ht="15.75" thickBot="1" x14ac:dyDescent="0.3">
      <c r="C2" s="77"/>
    </row>
    <row r="3" spans="1:5" ht="15.75" thickBot="1" x14ac:dyDescent="0.3">
      <c r="B3" t="s">
        <v>31</v>
      </c>
      <c r="C3" s="78">
        <v>20000000000</v>
      </c>
    </row>
    <row r="5" spans="1:5" x14ac:dyDescent="0.25">
      <c r="A5" s="75" t="s">
        <v>32</v>
      </c>
      <c r="B5" s="76" t="s">
        <v>33</v>
      </c>
    </row>
    <row r="6" spans="1:5" x14ac:dyDescent="0.25">
      <c r="A6" s="71">
        <v>1</v>
      </c>
      <c r="B6" s="72" t="s">
        <v>34</v>
      </c>
    </row>
    <row r="7" spans="1:5" x14ac:dyDescent="0.25">
      <c r="A7" s="71">
        <v>2</v>
      </c>
      <c r="B7" s="72" t="s">
        <v>35</v>
      </c>
    </row>
    <row r="8" spans="1:5" x14ac:dyDescent="0.25">
      <c r="A8" s="71">
        <v>3</v>
      </c>
      <c r="B8" s="72" t="s">
        <v>36</v>
      </c>
    </row>
    <row r="9" spans="1:5" x14ac:dyDescent="0.25">
      <c r="A9" s="73">
        <v>4</v>
      </c>
      <c r="B9" s="74" t="s">
        <v>37</v>
      </c>
    </row>
    <row r="10" spans="1:5" x14ac:dyDescent="0.25">
      <c r="A10" s="71">
        <v>5</v>
      </c>
      <c r="B10" s="72" t="s">
        <v>38</v>
      </c>
    </row>
    <row r="13" spans="1:5" x14ac:dyDescent="0.25">
      <c r="B13" s="70" t="s">
        <v>39</v>
      </c>
    </row>
    <row r="14" spans="1:5" x14ac:dyDescent="0.25">
      <c r="B14" t="s">
        <v>40</v>
      </c>
      <c r="C14" s="64">
        <v>0</v>
      </c>
      <c r="D14" s="64">
        <v>1</v>
      </c>
      <c r="E14" s="64">
        <v>1</v>
      </c>
    </row>
    <row r="15" spans="1:5" x14ac:dyDescent="0.25">
      <c r="B15" t="s">
        <v>41</v>
      </c>
      <c r="C15" s="64">
        <f>D14</f>
        <v>1</v>
      </c>
      <c r="D15" s="64">
        <v>2</v>
      </c>
      <c r="E15" s="64">
        <v>2</v>
      </c>
    </row>
    <row r="16" spans="1:5" x14ac:dyDescent="0.25">
      <c r="B16" t="s">
        <v>42</v>
      </c>
      <c r="C16" s="64">
        <f t="shared" ref="C16:C18" si="0">D15</f>
        <v>2</v>
      </c>
      <c r="D16" s="64">
        <v>3</v>
      </c>
      <c r="E16" s="64">
        <v>3</v>
      </c>
    </row>
    <row r="17" spans="2:5" x14ac:dyDescent="0.25">
      <c r="B17" t="s">
        <v>43</v>
      </c>
      <c r="C17" s="64">
        <f t="shared" si="0"/>
        <v>3</v>
      </c>
      <c r="D17" s="64">
        <v>4</v>
      </c>
      <c r="E17" s="64">
        <v>4</v>
      </c>
    </row>
    <row r="18" spans="2:5" x14ac:dyDescent="0.25">
      <c r="B18" t="s">
        <v>44</v>
      </c>
      <c r="C18" s="64">
        <f t="shared" si="0"/>
        <v>4</v>
      </c>
      <c r="D18" s="64">
        <v>99</v>
      </c>
      <c r="E18" s="64">
        <v>5</v>
      </c>
    </row>
    <row r="21" spans="2:5" x14ac:dyDescent="0.25">
      <c r="B21" s="70" t="s">
        <v>45</v>
      </c>
      <c r="D21" s="70" t="s">
        <v>46</v>
      </c>
    </row>
    <row r="22" spans="2:5" x14ac:dyDescent="0.25">
      <c r="B22" t="s">
        <v>47</v>
      </c>
      <c r="C22" s="64">
        <v>1</v>
      </c>
      <c r="D22" t="s">
        <v>48</v>
      </c>
      <c r="E22" t="s">
        <v>49</v>
      </c>
    </row>
    <row r="23" spans="2:5" x14ac:dyDescent="0.25">
      <c r="B23" t="s">
        <v>50</v>
      </c>
      <c r="C23" s="64">
        <v>2</v>
      </c>
      <c r="D23" t="s">
        <v>51</v>
      </c>
      <c r="E23" t="s">
        <v>52</v>
      </c>
    </row>
    <row r="24" spans="2:5" x14ac:dyDescent="0.25">
      <c r="B24" t="s">
        <v>53</v>
      </c>
      <c r="C24" s="64">
        <v>3</v>
      </c>
      <c r="D24" t="s">
        <v>54</v>
      </c>
      <c r="E24" t="s">
        <v>55</v>
      </c>
    </row>
    <row r="25" spans="2:5" x14ac:dyDescent="0.25">
      <c r="B25" t="s">
        <v>56</v>
      </c>
      <c r="C25" s="64">
        <v>4</v>
      </c>
      <c r="D25" t="s">
        <v>57</v>
      </c>
      <c r="E25" t="s">
        <v>58</v>
      </c>
    </row>
    <row r="26" spans="2:5" x14ac:dyDescent="0.25">
      <c r="B26" t="s">
        <v>59</v>
      </c>
      <c r="C26" s="64">
        <v>5</v>
      </c>
      <c r="D26" t="s">
        <v>60</v>
      </c>
      <c r="E26" t="s">
        <v>61</v>
      </c>
    </row>
    <row r="29" spans="2:5" x14ac:dyDescent="0.25">
      <c r="B29" s="70" t="s">
        <v>62</v>
      </c>
    </row>
    <row r="30" spans="2:5" x14ac:dyDescent="0.25">
      <c r="B30" t="s">
        <v>63</v>
      </c>
      <c r="C30" s="64">
        <v>1</v>
      </c>
    </row>
    <row r="31" spans="2:5" x14ac:dyDescent="0.25">
      <c r="B31" t="s">
        <v>64</v>
      </c>
      <c r="C31" s="64">
        <v>2</v>
      </c>
    </row>
    <row r="32" spans="2:5" x14ac:dyDescent="0.25">
      <c r="B32" t="s">
        <v>65</v>
      </c>
      <c r="C32" s="64">
        <v>3</v>
      </c>
    </row>
    <row r="33" spans="2:10" x14ac:dyDescent="0.25">
      <c r="B33" t="s">
        <v>66</v>
      </c>
      <c r="C33" s="64">
        <v>4</v>
      </c>
    </row>
    <row r="34" spans="2:10" x14ac:dyDescent="0.25">
      <c r="B34" t="s">
        <v>67</v>
      </c>
      <c r="C34" s="64">
        <v>5</v>
      </c>
    </row>
    <row r="36" spans="2:10" x14ac:dyDescent="0.25">
      <c r="B36" s="70" t="s">
        <v>68</v>
      </c>
    </row>
    <row r="37" spans="2:10" x14ac:dyDescent="0.25">
      <c r="B37" t="s">
        <v>69</v>
      </c>
      <c r="C37" s="64">
        <v>1</v>
      </c>
    </row>
    <row r="38" spans="2:10" x14ac:dyDescent="0.25">
      <c r="B38" t="s">
        <v>70</v>
      </c>
      <c r="C38" s="64">
        <v>2</v>
      </c>
    </row>
    <row r="39" spans="2:10" x14ac:dyDescent="0.25">
      <c r="B39" t="s">
        <v>71</v>
      </c>
      <c r="C39" s="64">
        <v>3</v>
      </c>
    </row>
    <row r="40" spans="2:10" x14ac:dyDescent="0.25">
      <c r="B40" t="s">
        <v>72</v>
      </c>
      <c r="C40" s="64">
        <v>4</v>
      </c>
    </row>
    <row r="41" spans="2:10" x14ac:dyDescent="0.25">
      <c r="B41" t="s">
        <v>73</v>
      </c>
      <c r="C41" s="64">
        <v>5</v>
      </c>
    </row>
    <row r="42" spans="2:10" x14ac:dyDescent="0.25">
      <c r="F42" s="61">
        <v>858654411065</v>
      </c>
      <c r="G42" t="s">
        <v>31</v>
      </c>
    </row>
    <row r="43" spans="2:10" x14ac:dyDescent="0.25">
      <c r="F43" s="60">
        <v>0.2</v>
      </c>
      <c r="G43" t="s">
        <v>74</v>
      </c>
    </row>
    <row r="44" spans="2:10" x14ac:dyDescent="0.25">
      <c r="B44" s="70" t="s">
        <v>21</v>
      </c>
      <c r="F44" s="61">
        <f>F42*F43</f>
        <v>171730882213</v>
      </c>
      <c r="J44" s="70" t="s">
        <v>75</v>
      </c>
    </row>
    <row r="45" spans="2:10" x14ac:dyDescent="0.25">
      <c r="B45" t="s">
        <v>76</v>
      </c>
      <c r="C45" s="65">
        <f t="shared" ref="C45:C46" si="1">D46</f>
        <v>0.5</v>
      </c>
      <c r="D45" s="60">
        <v>1</v>
      </c>
      <c r="E45">
        <v>5</v>
      </c>
      <c r="F45" s="61">
        <f>C45*$F$44</f>
        <v>85865441106.5</v>
      </c>
      <c r="G45" s="61">
        <f t="shared" ref="G45:G49" si="2">D45*$F$44</f>
        <v>171730882213</v>
      </c>
    </row>
    <row r="46" spans="2:10" x14ac:dyDescent="0.25">
      <c r="B46" t="s">
        <v>77</v>
      </c>
      <c r="C46" s="65">
        <f t="shared" si="1"/>
        <v>0.2</v>
      </c>
      <c r="D46" s="60">
        <v>0.5</v>
      </c>
      <c r="E46">
        <v>4</v>
      </c>
      <c r="F46" s="61">
        <f t="shared" ref="F46:F49" si="3">C46*$F$44</f>
        <v>34346176442.600002</v>
      </c>
      <c r="G46" s="61">
        <f t="shared" si="2"/>
        <v>85865441106.5</v>
      </c>
    </row>
    <row r="47" spans="2:10" x14ac:dyDescent="0.25">
      <c r="B47" t="s">
        <v>78</v>
      </c>
      <c r="C47" s="65">
        <f>D48</f>
        <v>0.05</v>
      </c>
      <c r="D47" s="60">
        <v>0.2</v>
      </c>
      <c r="E47">
        <v>3</v>
      </c>
      <c r="F47" s="61">
        <f t="shared" si="3"/>
        <v>8586544110.6500006</v>
      </c>
      <c r="G47" s="61">
        <f t="shared" si="2"/>
        <v>34346176442.600002</v>
      </c>
    </row>
    <row r="48" spans="2:10" x14ac:dyDescent="0.25">
      <c r="B48" t="s">
        <v>79</v>
      </c>
      <c r="C48" s="65">
        <f>D49</f>
        <v>0.01</v>
      </c>
      <c r="D48" s="60">
        <v>0.05</v>
      </c>
      <c r="E48">
        <v>2</v>
      </c>
      <c r="F48" s="61">
        <f t="shared" si="3"/>
        <v>1717308822.1300001</v>
      </c>
      <c r="G48" s="61">
        <f t="shared" si="2"/>
        <v>8586544110.6500006</v>
      </c>
    </row>
    <row r="49" spans="2:7" x14ac:dyDescent="0.25">
      <c r="B49" t="s">
        <v>80</v>
      </c>
      <c r="C49" s="65">
        <v>0</v>
      </c>
      <c r="D49" s="60">
        <v>0.01</v>
      </c>
      <c r="E49">
        <v>1</v>
      </c>
      <c r="F49" s="61">
        <f t="shared" si="3"/>
        <v>0</v>
      </c>
      <c r="G49" s="61">
        <f t="shared" si="2"/>
        <v>1717308822.1300001</v>
      </c>
    </row>
    <row r="53" spans="2:7" x14ac:dyDescent="0.25">
      <c r="B53" s="70" t="s">
        <v>23</v>
      </c>
    </row>
    <row r="54" spans="2:7" x14ac:dyDescent="0.25">
      <c r="B54" s="62" t="s">
        <v>81</v>
      </c>
      <c r="C54" s="69" t="s">
        <v>82</v>
      </c>
      <c r="D54" s="62" t="s">
        <v>83</v>
      </c>
      <c r="E54">
        <v>0</v>
      </c>
      <c r="F54">
        <v>1.5</v>
      </c>
      <c r="G54" t="s">
        <v>81</v>
      </c>
    </row>
    <row r="55" spans="2:7" x14ac:dyDescent="0.25">
      <c r="B55" s="62" t="s">
        <v>84</v>
      </c>
      <c r="C55" s="69" t="s">
        <v>85</v>
      </c>
      <c r="D55" s="62" t="s">
        <v>83</v>
      </c>
      <c r="E55">
        <f>F54</f>
        <v>1.5</v>
      </c>
      <c r="F55">
        <v>2</v>
      </c>
      <c r="G55" t="s">
        <v>84</v>
      </c>
    </row>
    <row r="56" spans="2:7" x14ac:dyDescent="0.25">
      <c r="B56" s="58" t="s">
        <v>86</v>
      </c>
      <c r="C56" s="68" t="s">
        <v>87</v>
      </c>
      <c r="D56" s="58" t="s">
        <v>88</v>
      </c>
      <c r="E56">
        <f>F55</f>
        <v>2</v>
      </c>
      <c r="F56">
        <v>3</v>
      </c>
      <c r="G56" t="s">
        <v>86</v>
      </c>
    </row>
    <row r="57" spans="2:7" x14ac:dyDescent="0.25">
      <c r="B57" s="59" t="s">
        <v>89</v>
      </c>
      <c r="C57" s="67" t="s">
        <v>90</v>
      </c>
      <c r="D57" s="59" t="s">
        <v>91</v>
      </c>
      <c r="E57">
        <f>F56</f>
        <v>3</v>
      </c>
      <c r="F57">
        <v>4</v>
      </c>
      <c r="G57" t="s">
        <v>89</v>
      </c>
    </row>
    <row r="58" spans="2:7" x14ac:dyDescent="0.25">
      <c r="B58" s="63" t="s">
        <v>92</v>
      </c>
      <c r="C58" s="66" t="s">
        <v>93</v>
      </c>
      <c r="D58" s="63" t="s">
        <v>94</v>
      </c>
      <c r="E58">
        <v>4</v>
      </c>
      <c r="F58">
        <v>5</v>
      </c>
      <c r="G58" t="s">
        <v>92</v>
      </c>
    </row>
    <row r="61" spans="2:7" x14ac:dyDescent="0.25">
      <c r="B61" s="70" t="s">
        <v>95</v>
      </c>
    </row>
    <row r="62" spans="2:7" x14ac:dyDescent="0.25">
      <c r="B62" s="62" t="s">
        <v>81</v>
      </c>
      <c r="C62" s="69" t="s">
        <v>96</v>
      </c>
      <c r="D62" s="62" t="s">
        <v>82</v>
      </c>
    </row>
    <row r="63" spans="2:7" x14ac:dyDescent="0.25">
      <c r="B63" s="62" t="s">
        <v>84</v>
      </c>
      <c r="C63" s="69" t="s">
        <v>97</v>
      </c>
      <c r="D63" s="62" t="s">
        <v>85</v>
      </c>
    </row>
    <row r="64" spans="2:7" x14ac:dyDescent="0.25">
      <c r="B64" s="58" t="s">
        <v>86</v>
      </c>
      <c r="C64" s="68" t="s">
        <v>98</v>
      </c>
      <c r="D64" s="58" t="s">
        <v>87</v>
      </c>
    </row>
    <row r="65" spans="2:7" ht="16.5" customHeight="1" x14ac:dyDescent="0.25">
      <c r="B65" s="59" t="s">
        <v>89</v>
      </c>
      <c r="C65" s="67" t="s">
        <v>99</v>
      </c>
      <c r="D65" s="59" t="s">
        <v>90</v>
      </c>
    </row>
    <row r="66" spans="2:7" x14ac:dyDescent="0.25">
      <c r="B66" s="63" t="s">
        <v>92</v>
      </c>
      <c r="C66" s="66" t="s">
        <v>100</v>
      </c>
      <c r="D66" s="63" t="s">
        <v>93</v>
      </c>
    </row>
    <row r="69" spans="2:7" x14ac:dyDescent="0.25">
      <c r="B69" s="70" t="s">
        <v>33</v>
      </c>
    </row>
    <row r="70" spans="2:7" x14ac:dyDescent="0.25">
      <c r="B70" t="s">
        <v>34</v>
      </c>
      <c r="C70" s="64">
        <v>1</v>
      </c>
    </row>
    <row r="71" spans="2:7" x14ac:dyDescent="0.25">
      <c r="B71" t="s">
        <v>35</v>
      </c>
      <c r="C71" s="64">
        <v>2</v>
      </c>
    </row>
    <row r="72" spans="2:7" x14ac:dyDescent="0.25">
      <c r="B72" t="s">
        <v>36</v>
      </c>
      <c r="C72" s="64">
        <v>3</v>
      </c>
    </row>
    <row r="73" spans="2:7" x14ac:dyDescent="0.25">
      <c r="B73" t="s">
        <v>37</v>
      </c>
      <c r="C73" s="64">
        <v>4</v>
      </c>
    </row>
    <row r="74" spans="2:7" x14ac:dyDescent="0.25">
      <c r="B74" t="s">
        <v>38</v>
      </c>
      <c r="C74" s="64">
        <v>5</v>
      </c>
    </row>
    <row r="76" spans="2:7" x14ac:dyDescent="0.25">
      <c r="B76" s="79"/>
      <c r="C76" s="80"/>
      <c r="D76" s="79"/>
      <c r="E76" s="79"/>
      <c r="F76" s="81">
        <f>848908000+3176274000+1002863000+409036000+28500000</f>
        <v>5465581000</v>
      </c>
      <c r="G76" s="79" t="s">
        <v>31</v>
      </c>
    </row>
    <row r="77" spans="2:7" x14ac:dyDescent="0.25">
      <c r="B77" s="79"/>
      <c r="C77" s="80"/>
      <c r="D77" s="79"/>
      <c r="E77" s="79"/>
      <c r="F77" s="82">
        <v>0.6</v>
      </c>
      <c r="G77" s="79" t="s">
        <v>74</v>
      </c>
    </row>
    <row r="78" spans="2:7" x14ac:dyDescent="0.25">
      <c r="B78" s="151" t="s">
        <v>21</v>
      </c>
      <c r="C78" s="80"/>
      <c r="D78" s="79"/>
      <c r="E78" s="79"/>
      <c r="F78" s="81">
        <f>F76*F77</f>
        <v>3279348600</v>
      </c>
      <c r="G78" s="79"/>
    </row>
    <row r="79" spans="2:7" x14ac:dyDescent="0.25">
      <c r="B79" s="79" t="s">
        <v>101</v>
      </c>
      <c r="C79" s="83">
        <f t="shared" ref="C79:C80" si="4">D80</f>
        <v>0.5</v>
      </c>
      <c r="D79" s="82">
        <v>1</v>
      </c>
      <c r="E79" s="79">
        <v>5</v>
      </c>
      <c r="F79" s="81">
        <f t="shared" ref="F79:G83" si="5">C79*$F$78</f>
        <v>1639674300</v>
      </c>
      <c r="G79" s="81">
        <f t="shared" si="5"/>
        <v>3279348600</v>
      </c>
    </row>
    <row r="80" spans="2:7" x14ac:dyDescent="0.25">
      <c r="B80" s="79" t="s">
        <v>102</v>
      </c>
      <c r="C80" s="83">
        <f t="shared" si="4"/>
        <v>0.2</v>
      </c>
      <c r="D80" s="82">
        <v>0.5</v>
      </c>
      <c r="E80" s="79">
        <v>4</v>
      </c>
      <c r="F80" s="81">
        <f t="shared" si="5"/>
        <v>655869720</v>
      </c>
      <c r="G80" s="81">
        <f t="shared" si="5"/>
        <v>1639674300</v>
      </c>
    </row>
    <row r="81" spans="2:7" x14ac:dyDescent="0.25">
      <c r="B81" s="79" t="s">
        <v>103</v>
      </c>
      <c r="C81" s="83">
        <f>D82</f>
        <v>0.05</v>
      </c>
      <c r="D81" s="82">
        <v>0.2</v>
      </c>
      <c r="E81" s="79">
        <v>3</v>
      </c>
      <c r="F81" s="81">
        <f t="shared" si="5"/>
        <v>163967430</v>
      </c>
      <c r="G81" s="81">
        <f t="shared" si="5"/>
        <v>655869720</v>
      </c>
    </row>
    <row r="82" spans="2:7" x14ac:dyDescent="0.25">
      <c r="B82" s="79" t="s">
        <v>104</v>
      </c>
      <c r="C82" s="83">
        <f>D83</f>
        <v>0.01</v>
      </c>
      <c r="D82" s="82">
        <v>0.05</v>
      </c>
      <c r="E82" s="79">
        <v>2</v>
      </c>
      <c r="F82" s="81">
        <f t="shared" si="5"/>
        <v>32793486</v>
      </c>
      <c r="G82" s="81">
        <f t="shared" si="5"/>
        <v>163967430</v>
      </c>
    </row>
    <row r="83" spans="2:7" x14ac:dyDescent="0.25">
      <c r="B83" s="79" t="s">
        <v>105</v>
      </c>
      <c r="C83" s="83">
        <v>0</v>
      </c>
      <c r="D83" s="82">
        <v>0.01</v>
      </c>
      <c r="E83" s="79">
        <v>1</v>
      </c>
      <c r="F83" s="81">
        <f t="shared" si="5"/>
        <v>0</v>
      </c>
      <c r="G83" s="81">
        <f t="shared" si="5"/>
        <v>32793486</v>
      </c>
    </row>
    <row r="86" spans="2:7" x14ac:dyDescent="0.25">
      <c r="D86" t="s">
        <v>106</v>
      </c>
      <c r="E86" s="84">
        <v>1002863000</v>
      </c>
    </row>
    <row r="87" spans="2:7" x14ac:dyDescent="0.25">
      <c r="D87" t="s">
        <v>107</v>
      </c>
      <c r="E87" s="84">
        <v>409036000</v>
      </c>
    </row>
    <row r="88" spans="2:7" x14ac:dyDescent="0.25">
      <c r="E88" s="84">
        <f>+E86+E87</f>
        <v>1411899000</v>
      </c>
    </row>
    <row r="89" spans="2:7" x14ac:dyDescent="0.25">
      <c r="B89" s="151" t="s">
        <v>108</v>
      </c>
      <c r="C89" s="80"/>
    </row>
    <row r="90" spans="2:7" x14ac:dyDescent="0.25">
      <c r="B90" s="79" t="s">
        <v>109</v>
      </c>
      <c r="C90" s="80">
        <v>5</v>
      </c>
    </row>
    <row r="91" spans="2:7" x14ac:dyDescent="0.25">
      <c r="B91" s="79" t="s">
        <v>110</v>
      </c>
      <c r="C91" s="80">
        <v>1</v>
      </c>
    </row>
    <row r="94" spans="2:7" x14ac:dyDescent="0.25">
      <c r="B94" s="151" t="s">
        <v>111</v>
      </c>
      <c r="C94" s="80"/>
    </row>
    <row r="95" spans="2:7" x14ac:dyDescent="0.25">
      <c r="B95" s="151" t="s">
        <v>112</v>
      </c>
      <c r="C95" s="80"/>
    </row>
    <row r="96" spans="2:7" x14ac:dyDescent="0.25">
      <c r="B96" s="79" t="s">
        <v>113</v>
      </c>
      <c r="C96" s="152">
        <v>59939874000</v>
      </c>
    </row>
    <row r="97" spans="2:7" x14ac:dyDescent="0.25">
      <c r="B97" s="79" t="s">
        <v>114</v>
      </c>
      <c r="C97" s="152">
        <v>19378245000</v>
      </c>
    </row>
    <row r="98" spans="2:7" x14ac:dyDescent="0.25">
      <c r="B98" s="151" t="s">
        <v>115</v>
      </c>
      <c r="C98" s="152">
        <f>SUM(C96:C97)</f>
        <v>79318119000</v>
      </c>
    </row>
    <row r="100" spans="2:7" x14ac:dyDescent="0.25">
      <c r="B100" s="151" t="s">
        <v>116</v>
      </c>
      <c r="C100" s="80"/>
    </row>
    <row r="101" spans="2:7" x14ac:dyDescent="0.25">
      <c r="B101" s="79" t="s">
        <v>113</v>
      </c>
      <c r="C101" s="152">
        <v>22407835000</v>
      </c>
    </row>
    <row r="102" spans="2:7" x14ac:dyDescent="0.25">
      <c r="B102" s="79" t="s">
        <v>114</v>
      </c>
      <c r="C102" s="152">
        <v>2210820000</v>
      </c>
    </row>
    <row r="103" spans="2:7" x14ac:dyDescent="0.25">
      <c r="B103" s="79" t="s">
        <v>117</v>
      </c>
      <c r="C103" s="153">
        <f>SUM(C101:C102)</f>
        <v>24618655000</v>
      </c>
    </row>
    <row r="107" spans="2:7" x14ac:dyDescent="0.25">
      <c r="F107" s="156">
        <v>194690</v>
      </c>
      <c r="G107" t="s">
        <v>118</v>
      </c>
    </row>
    <row r="108" spans="2:7" x14ac:dyDescent="0.25">
      <c r="F108" s="60">
        <v>0.5</v>
      </c>
      <c r="G108" t="s">
        <v>74</v>
      </c>
    </row>
    <row r="109" spans="2:7" x14ac:dyDescent="0.25">
      <c r="B109" s="70" t="s">
        <v>21</v>
      </c>
      <c r="F109" s="157">
        <f>F107*F108</f>
        <v>97345</v>
      </c>
      <c r="G109" s="156"/>
    </row>
    <row r="110" spans="2:7" x14ac:dyDescent="0.25">
      <c r="B110" t="s">
        <v>101</v>
      </c>
      <c r="C110" s="65">
        <f t="shared" ref="C110:C111" si="6">D111</f>
        <v>0.5</v>
      </c>
      <c r="D110" s="60">
        <v>1</v>
      </c>
      <c r="E110">
        <v>5</v>
      </c>
      <c r="F110" s="156">
        <f>C110*$F$109</f>
        <v>48672.5</v>
      </c>
      <c r="G110" s="156">
        <f>D110*$F$109</f>
        <v>97345</v>
      </c>
    </row>
    <row r="111" spans="2:7" x14ac:dyDescent="0.25">
      <c r="B111" t="s">
        <v>102</v>
      </c>
      <c r="C111" s="65">
        <f t="shared" si="6"/>
        <v>0.2</v>
      </c>
      <c r="D111" s="60">
        <v>0.5</v>
      </c>
      <c r="E111">
        <v>4</v>
      </c>
      <c r="F111" s="156">
        <f t="shared" ref="F111:F114" si="7">C111*$F$109</f>
        <v>19469</v>
      </c>
      <c r="G111" s="156">
        <f t="shared" ref="G111:G114" si="8">D111*$F$109</f>
        <v>48672.5</v>
      </c>
    </row>
    <row r="112" spans="2:7" x14ac:dyDescent="0.25">
      <c r="B112" t="s">
        <v>103</v>
      </c>
      <c r="C112" s="65">
        <f>D113</f>
        <v>0.05</v>
      </c>
      <c r="D112" s="60">
        <v>0.2</v>
      </c>
      <c r="E112">
        <v>3</v>
      </c>
      <c r="F112" s="156">
        <f t="shared" si="7"/>
        <v>4867.25</v>
      </c>
      <c r="G112" s="156">
        <f t="shared" si="8"/>
        <v>19469</v>
      </c>
    </row>
    <row r="113" spans="2:7" x14ac:dyDescent="0.25">
      <c r="B113" t="s">
        <v>104</v>
      </c>
      <c r="C113" s="65">
        <f>D114</f>
        <v>0.01</v>
      </c>
      <c r="D113" s="60">
        <v>0.05</v>
      </c>
      <c r="E113">
        <v>2</v>
      </c>
      <c r="F113" s="156">
        <f t="shared" si="7"/>
        <v>973.45</v>
      </c>
      <c r="G113" s="156">
        <f t="shared" si="8"/>
        <v>4867.25</v>
      </c>
    </row>
    <row r="114" spans="2:7" x14ac:dyDescent="0.25">
      <c r="B114" t="s">
        <v>105</v>
      </c>
      <c r="C114" s="65">
        <v>0</v>
      </c>
      <c r="D114" s="60">
        <v>0.01</v>
      </c>
      <c r="E114">
        <v>1</v>
      </c>
      <c r="F114" s="156">
        <f t="shared" si="7"/>
        <v>0</v>
      </c>
      <c r="G114" s="156">
        <f t="shared" si="8"/>
        <v>973.45</v>
      </c>
    </row>
  </sheetData>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A3FA-4C92-468C-ABA4-7A597DFB9150}">
  <dimension ref="B1:AB217"/>
  <sheetViews>
    <sheetView showGridLines="0" tabSelected="1" zoomScale="55" zoomScaleNormal="55" zoomScalePageLayoutView="125" workbookViewId="0">
      <selection activeCell="AE7" sqref="AE7"/>
    </sheetView>
  </sheetViews>
  <sheetFormatPr baseColWidth="10" defaultColWidth="9.140625" defaultRowHeight="12.75" x14ac:dyDescent="0.2"/>
  <cols>
    <col min="1" max="1" width="2.42578125" style="142" customWidth="1"/>
    <col min="2" max="2" width="4.140625" style="142" customWidth="1"/>
    <col min="3" max="3" width="41.85546875" style="141" customWidth="1"/>
    <col min="4" max="4" width="11.7109375" style="142" customWidth="1"/>
    <col min="5" max="5" width="7.85546875" style="142" customWidth="1"/>
    <col min="6" max="7" width="10.140625" style="142" customWidth="1"/>
    <col min="8" max="8" width="7" style="142" customWidth="1"/>
    <col min="9" max="10" width="16" style="142" customWidth="1"/>
    <col min="11" max="11" width="15.140625" style="142" customWidth="1"/>
    <col min="12" max="12" width="16.85546875" style="142" customWidth="1"/>
    <col min="13" max="14" width="17.85546875" style="142" customWidth="1"/>
    <col min="15" max="15" width="15.42578125" style="142" customWidth="1"/>
    <col min="16" max="16" width="16.42578125" style="142" customWidth="1"/>
    <col min="17" max="17" width="14.85546875" style="142" customWidth="1"/>
    <col min="18" max="18" width="16.7109375" style="142" customWidth="1"/>
    <col min="19" max="19" width="17" style="142" customWidth="1"/>
    <col min="20" max="20" width="16.42578125" style="142" customWidth="1"/>
    <col min="21" max="21" width="15.85546875" style="142" customWidth="1"/>
    <col min="22" max="22" width="20.42578125" style="142" customWidth="1"/>
    <col min="23" max="23" width="16.42578125" style="142" customWidth="1"/>
    <col min="24" max="24" width="24.140625" style="142" customWidth="1"/>
    <col min="25" max="25" width="24" style="142" customWidth="1"/>
    <col min="26" max="26" width="26.140625" style="142" customWidth="1"/>
    <col min="27" max="27" width="26.28515625" style="142" customWidth="1"/>
    <col min="28" max="28" width="4.140625" style="142" customWidth="1"/>
    <col min="29" max="34" width="9.140625" style="142" customWidth="1"/>
    <col min="35" max="16384" width="9.140625" style="142"/>
  </cols>
  <sheetData>
    <row r="1" spans="2:28" s="88" customFormat="1" x14ac:dyDescent="0.2">
      <c r="C1" s="89"/>
    </row>
    <row r="2" spans="2:28" s="88" customFormat="1" ht="48.75" customHeight="1" x14ac:dyDescent="0.2">
      <c r="B2" s="205"/>
      <c r="C2" s="206"/>
      <c r="D2" s="211" t="s">
        <v>263</v>
      </c>
      <c r="E2" s="211"/>
      <c r="F2" s="211"/>
      <c r="G2" s="211"/>
      <c r="H2" s="211"/>
      <c r="I2" s="211"/>
      <c r="J2" s="211"/>
      <c r="K2" s="211"/>
      <c r="L2" s="211"/>
      <c r="M2" s="211"/>
      <c r="N2" s="211"/>
      <c r="O2" s="211"/>
      <c r="P2" s="211"/>
      <c r="Q2" s="211"/>
      <c r="R2" s="211"/>
      <c r="S2" s="211"/>
      <c r="T2" s="211"/>
      <c r="U2" s="211"/>
      <c r="V2" s="211"/>
      <c r="W2" s="211"/>
      <c r="X2" s="211"/>
      <c r="Y2" s="211"/>
      <c r="Z2" s="211"/>
      <c r="AA2" s="211"/>
      <c r="AB2" s="211"/>
    </row>
    <row r="3" spans="2:28" s="88" customFormat="1" ht="48.75" customHeight="1" x14ac:dyDescent="0.2">
      <c r="B3" s="207"/>
      <c r="C3" s="208"/>
      <c r="D3" s="215" t="s">
        <v>119</v>
      </c>
      <c r="E3" s="215"/>
      <c r="F3" s="215"/>
      <c r="G3" s="215"/>
      <c r="H3" s="215"/>
      <c r="I3" s="215"/>
      <c r="J3" s="215"/>
      <c r="K3" s="215"/>
      <c r="L3" s="215"/>
      <c r="M3" s="215"/>
      <c r="N3" s="215"/>
      <c r="O3" s="215"/>
      <c r="P3" s="215"/>
      <c r="Q3" s="215"/>
      <c r="R3" s="215"/>
      <c r="S3" s="215"/>
      <c r="T3" s="215"/>
      <c r="U3" s="215"/>
      <c r="V3" s="215"/>
      <c r="W3" s="215"/>
      <c r="X3" s="215"/>
      <c r="Y3" s="215"/>
      <c r="Z3" s="215"/>
      <c r="AA3" s="215"/>
      <c r="AB3" s="215"/>
    </row>
    <row r="4" spans="2:28" s="88" customFormat="1" ht="48.75" customHeight="1" x14ac:dyDescent="0.2">
      <c r="B4" s="209"/>
      <c r="C4" s="210"/>
      <c r="D4" s="211" t="s">
        <v>120</v>
      </c>
      <c r="E4" s="211"/>
      <c r="F4" s="212" t="s">
        <v>121</v>
      </c>
      <c r="G4" s="212"/>
      <c r="H4" s="212"/>
      <c r="I4" s="212"/>
      <c r="J4" s="212"/>
      <c r="K4" s="211" t="s">
        <v>122</v>
      </c>
      <c r="L4" s="211"/>
      <c r="M4" s="211"/>
      <c r="N4" s="211"/>
      <c r="O4" s="211"/>
      <c r="P4" s="213">
        <v>0</v>
      </c>
      <c r="Q4" s="213"/>
      <c r="R4" s="213"/>
      <c r="S4" s="213"/>
      <c r="T4" s="213"/>
      <c r="U4" s="213"/>
      <c r="V4" s="211" t="s">
        <v>123</v>
      </c>
      <c r="W4" s="211"/>
      <c r="X4" s="211"/>
      <c r="Y4" s="214">
        <v>46185</v>
      </c>
      <c r="Z4" s="212"/>
      <c r="AA4" s="212"/>
      <c r="AB4" s="212"/>
    </row>
    <row r="5" spans="2:28" s="88" customFormat="1" ht="24.75" customHeight="1" thickBot="1" x14ac:dyDescent="0.25">
      <c r="B5" s="170"/>
      <c r="C5" s="171"/>
      <c r="D5" s="199" t="s">
        <v>124</v>
      </c>
      <c r="E5" s="199"/>
      <c r="F5" s="199"/>
      <c r="G5" s="199"/>
      <c r="H5" s="203"/>
      <c r="I5" s="204"/>
      <c r="J5" s="193"/>
      <c r="K5" s="193"/>
      <c r="L5" s="193"/>
      <c r="M5" s="193"/>
      <c r="N5" s="193"/>
      <c r="O5" s="193"/>
      <c r="P5" s="193"/>
      <c r="Q5" s="193"/>
      <c r="R5" s="193"/>
      <c r="S5" s="193"/>
      <c r="T5" s="193"/>
      <c r="U5" s="194"/>
      <c r="V5" s="195"/>
      <c r="W5" s="195"/>
      <c r="X5" s="195" t="s">
        <v>125</v>
      </c>
      <c r="Y5" s="196"/>
      <c r="Z5" s="195" t="s">
        <v>126</v>
      </c>
      <c r="AA5" s="196"/>
      <c r="AB5" s="197"/>
    </row>
    <row r="6" spans="2:28" s="97" customFormat="1" ht="15.75" customHeight="1" thickBot="1" x14ac:dyDescent="0.3">
      <c r="B6" s="90"/>
      <c r="C6" s="91"/>
      <c r="D6" s="200" t="s">
        <v>127</v>
      </c>
      <c r="E6" s="201"/>
      <c r="F6" s="201"/>
      <c r="G6" s="201"/>
      <c r="H6" s="202"/>
      <c r="I6" s="92"/>
      <c r="J6" s="93">
        <v>0.2</v>
      </c>
      <c r="K6" s="92"/>
      <c r="L6" s="93">
        <v>0.15</v>
      </c>
      <c r="M6" s="94"/>
      <c r="N6" s="95">
        <v>0.1</v>
      </c>
      <c r="O6" s="94"/>
      <c r="P6" s="95">
        <v>0.2</v>
      </c>
      <c r="Q6" s="91"/>
      <c r="R6" s="93">
        <v>0.15</v>
      </c>
      <c r="S6" s="91"/>
      <c r="T6" s="93">
        <v>0.2</v>
      </c>
      <c r="U6" s="91"/>
      <c r="V6" s="91"/>
      <c r="W6" s="91"/>
      <c r="X6" s="91"/>
      <c r="Y6" s="91"/>
      <c r="Z6" s="91"/>
      <c r="AA6" s="91"/>
      <c r="AB6" s="96"/>
    </row>
    <row r="7" spans="2:28" s="97" customFormat="1" ht="126.75" customHeight="1" thickBot="1" x14ac:dyDescent="0.3">
      <c r="B7" s="90"/>
      <c r="C7" s="98" t="s">
        <v>128</v>
      </c>
      <c r="D7" s="99" t="s">
        <v>92</v>
      </c>
      <c r="E7" s="100" t="s">
        <v>89</v>
      </c>
      <c r="F7" s="101" t="s">
        <v>86</v>
      </c>
      <c r="G7" s="102" t="s">
        <v>81</v>
      </c>
      <c r="H7" s="103" t="s">
        <v>129</v>
      </c>
      <c r="I7" s="104" t="s">
        <v>130</v>
      </c>
      <c r="J7" s="104" t="s">
        <v>130</v>
      </c>
      <c r="K7" s="104" t="s">
        <v>131</v>
      </c>
      <c r="L7" s="104" t="s">
        <v>132</v>
      </c>
      <c r="M7" s="105" t="s">
        <v>133</v>
      </c>
      <c r="N7" s="105" t="s">
        <v>134</v>
      </c>
      <c r="O7" s="106" t="s">
        <v>135</v>
      </c>
      <c r="P7" s="105" t="s">
        <v>136</v>
      </c>
      <c r="Q7" s="107" t="s">
        <v>137</v>
      </c>
      <c r="R7" s="104" t="s">
        <v>138</v>
      </c>
      <c r="S7" s="104" t="s">
        <v>139</v>
      </c>
      <c r="T7" s="104" t="s">
        <v>140</v>
      </c>
      <c r="U7" s="104" t="s">
        <v>141</v>
      </c>
      <c r="V7" s="104" t="s">
        <v>23</v>
      </c>
      <c r="W7" s="104" t="s">
        <v>142</v>
      </c>
      <c r="X7" s="104" t="s">
        <v>143</v>
      </c>
      <c r="Y7" s="104" t="s">
        <v>144</v>
      </c>
      <c r="Z7" s="104" t="s">
        <v>145</v>
      </c>
      <c r="AA7" s="104" t="s">
        <v>146</v>
      </c>
      <c r="AB7" s="96"/>
    </row>
    <row r="8" spans="2:28" s="123" customFormat="1" ht="51.75" hidden="1" customHeight="1" thickBot="1" x14ac:dyDescent="0.3">
      <c r="B8" s="108"/>
      <c r="C8" s="109" t="s">
        <v>147</v>
      </c>
      <c r="D8" s="110">
        <v>0</v>
      </c>
      <c r="E8" s="110">
        <v>0</v>
      </c>
      <c r="F8" s="110">
        <v>0</v>
      </c>
      <c r="G8" s="110">
        <v>0</v>
      </c>
      <c r="H8" s="111">
        <f t="shared" ref="H8:H34" si="0">SUM(D8:G8)</f>
        <v>0</v>
      </c>
      <c r="I8" s="112" t="str">
        <f>IF(D8&gt;=1,"Extremo",IF(E8&gt;=1,"Alto",IF(F8&gt;=1,"Moderado",IF(G8&gt;=1,"Bajo",IF(H8=0,"Bajo")))))</f>
        <v>Bajo</v>
      </c>
      <c r="J8" s="113">
        <f>IF(D8&gt;=1,5,IF(E8&gt;=1,4,IF(F8&gt;=1,3,IF(G8&gt;=1,2,IF(H8=0,1)))))</f>
        <v>1</v>
      </c>
      <c r="K8" s="114" t="s">
        <v>44</v>
      </c>
      <c r="L8" s="115">
        <f>INDEX(Tiempo_Ult_Aud_Calif,MATCH('Priorización Procesos'!K8,Tiempo_Ult_Aud_Def,0))</f>
        <v>5</v>
      </c>
      <c r="M8" s="116" t="s">
        <v>47</v>
      </c>
      <c r="N8" s="117">
        <f t="shared" ref="N8:N30" si="1">INDEX(Nivel_Directivo_Calif,MATCH(M8,Nivel_Directivo_Def,0))</f>
        <v>1</v>
      </c>
      <c r="O8" s="116" t="s">
        <v>64</v>
      </c>
      <c r="P8" s="118">
        <f t="shared" ref="P8:P34" si="2">INDEX(Impacto_Obj_Est_Calif,MATCH(O8,Impacto_Obj_Est_Def,0))</f>
        <v>2</v>
      </c>
      <c r="Q8" s="119" t="s">
        <v>69</v>
      </c>
      <c r="R8" s="118">
        <f t="shared" ref="R8:R34" si="3">INDEX(Result_Aud_Ant_Calif,MATCH(Q8,Result_Aud_Ant_Def,0))</f>
        <v>1</v>
      </c>
      <c r="S8" s="116" t="s">
        <v>80</v>
      </c>
      <c r="T8" s="118">
        <f t="shared" ref="T8:T34" si="4">INDEX(Impacto_Ppto_Calif,MATCH(S8,Impacto_Ppto_Def,0))</f>
        <v>1</v>
      </c>
      <c r="U8" s="120">
        <f>$J$6*J8+$L$6*L8+$N$6*N8+$P$6*P8+$R$6*R8+$T$6*T8</f>
        <v>1.8</v>
      </c>
      <c r="V8" s="120" t="str">
        <f t="shared" ref="V8" si="5">LOOKUP(U8,Nivel_Criticidad)</f>
        <v>Bajo (Priorizado)</v>
      </c>
      <c r="W8" s="118" t="str">
        <f t="shared" ref="W8:W34" si="6">INDEX(Ciclo_Rotación_Calif,MATCH(V8,Ciclo_Rotación_Def,0))</f>
        <v>Cada 4 años</v>
      </c>
      <c r="X8" s="121" t="str">
        <f t="shared" ref="X8:X30" si="7">IF(W8="Cada año",C8,"")</f>
        <v/>
      </c>
      <c r="Y8" s="121" t="str">
        <f t="shared" ref="Y8:Y30" si="8">IF(OR(W8="Cada año",W8="Cada 2 años"),C8,"")</f>
        <v/>
      </c>
      <c r="Z8" s="121" t="str">
        <f t="shared" ref="Z8:Z30" si="9">IF(OR(W8="Cada año",W8="Cada 3 años"),C8,"")</f>
        <v/>
      </c>
      <c r="AA8" s="121" t="str">
        <f t="shared" ref="AA8:AA30" si="10">IF(OR(W8="Cada año",W8="Cada 2 años",W8="Cada 4 años"),C8,"")</f>
        <v>Planeación y direccionamiento estratégico</v>
      </c>
      <c r="AB8" s="122"/>
    </row>
    <row r="9" spans="2:28" s="123" customFormat="1" ht="42.75" hidden="1" x14ac:dyDescent="0.25">
      <c r="B9" s="108"/>
      <c r="C9" s="109" t="s">
        <v>148</v>
      </c>
      <c r="D9" s="110">
        <v>0</v>
      </c>
      <c r="E9" s="110">
        <v>0</v>
      </c>
      <c r="F9" s="110">
        <v>0</v>
      </c>
      <c r="G9" s="110">
        <v>0</v>
      </c>
      <c r="H9" s="111">
        <f t="shared" si="0"/>
        <v>0</v>
      </c>
      <c r="I9" s="112" t="str">
        <f t="shared" ref="I9:I34" si="11">IF(D9&gt;=1,"Extremo",IF(E9&gt;=1,"Alto",IF(F9&gt;=1,"Moderado",IF(G9&gt;=1,"Bajo",IF(H9=0,"Bajo")))))</f>
        <v>Bajo</v>
      </c>
      <c r="J9" s="113">
        <f t="shared" ref="J9:J34" si="12">IF(D9&gt;=1,5,IF(E9&gt;=1,4,IF(F9&gt;=1,3,IF(G9&gt;=1,2,IF(H9=0,1)))))</f>
        <v>1</v>
      </c>
      <c r="K9" s="114" t="s">
        <v>40</v>
      </c>
      <c r="L9" s="115">
        <f>INDEX(Tiempo_Ult_Aud_Calif,MATCH('Priorización Procesos'!K9,Tiempo_Ult_Aud_Def,0))</f>
        <v>1</v>
      </c>
      <c r="M9" s="116" t="s">
        <v>47</v>
      </c>
      <c r="N9" s="117">
        <f t="shared" si="1"/>
        <v>1</v>
      </c>
      <c r="O9" s="116" t="s">
        <v>64</v>
      </c>
      <c r="P9" s="118">
        <f t="shared" si="2"/>
        <v>2</v>
      </c>
      <c r="Q9" s="119" t="s">
        <v>70</v>
      </c>
      <c r="R9" s="118">
        <f t="shared" si="3"/>
        <v>2</v>
      </c>
      <c r="S9" s="116" t="s">
        <v>77</v>
      </c>
      <c r="T9" s="118">
        <f t="shared" si="4"/>
        <v>4</v>
      </c>
      <c r="U9" s="120">
        <f t="shared" ref="U9:U34" si="13">$J$6*J9+$L$6*L9+$N$6*N9+$P$6*P9+$R$6*R9+$T$6*T9</f>
        <v>1.95</v>
      </c>
      <c r="V9" s="120" t="str">
        <f t="shared" ref="V9:V34" si="14">LOOKUP(U9,Nivel_Criticidad)</f>
        <v>Bajo (Priorizado)</v>
      </c>
      <c r="W9" s="118" t="str">
        <f t="shared" si="6"/>
        <v>Cada 4 años</v>
      </c>
      <c r="X9" s="121" t="str">
        <f t="shared" si="7"/>
        <v/>
      </c>
      <c r="Y9" s="121" t="str">
        <f t="shared" si="8"/>
        <v/>
      </c>
      <c r="Z9" s="121" t="str">
        <f t="shared" si="9"/>
        <v/>
      </c>
      <c r="AA9" s="121" t="str">
        <f t="shared" si="10"/>
        <v>Comunicación estratégica y relacionamiento con los grupos de valor</v>
      </c>
      <c r="AB9" s="122"/>
    </row>
    <row r="10" spans="2:28" s="123" customFormat="1" ht="38.25" hidden="1" x14ac:dyDescent="0.25">
      <c r="B10" s="108"/>
      <c r="C10" s="109" t="s">
        <v>149</v>
      </c>
      <c r="D10" s="110">
        <v>0</v>
      </c>
      <c r="E10" s="110">
        <v>0</v>
      </c>
      <c r="F10" s="110">
        <v>0</v>
      </c>
      <c r="G10" s="110">
        <v>0</v>
      </c>
      <c r="H10" s="111">
        <f t="shared" si="0"/>
        <v>0</v>
      </c>
      <c r="I10" s="112" t="str">
        <f t="shared" si="11"/>
        <v>Bajo</v>
      </c>
      <c r="J10" s="113">
        <f t="shared" si="12"/>
        <v>1</v>
      </c>
      <c r="K10" s="114" t="s">
        <v>44</v>
      </c>
      <c r="L10" s="115">
        <f>INDEX(Tiempo_Ult_Aud_Calif,MATCH('Priorización Procesos'!K10,Tiempo_Ult_Aud_Def,0))</f>
        <v>5</v>
      </c>
      <c r="M10" s="116" t="s">
        <v>47</v>
      </c>
      <c r="N10" s="117">
        <f t="shared" si="1"/>
        <v>1</v>
      </c>
      <c r="O10" s="116" t="s">
        <v>65</v>
      </c>
      <c r="P10" s="118">
        <f t="shared" si="2"/>
        <v>3</v>
      </c>
      <c r="Q10" s="119" t="s">
        <v>69</v>
      </c>
      <c r="R10" s="118">
        <f t="shared" si="3"/>
        <v>1</v>
      </c>
      <c r="S10" s="116" t="s">
        <v>80</v>
      </c>
      <c r="T10" s="118">
        <f t="shared" si="4"/>
        <v>1</v>
      </c>
      <c r="U10" s="120">
        <f t="shared" si="13"/>
        <v>2</v>
      </c>
      <c r="V10" s="120" t="str">
        <f t="shared" si="14"/>
        <v>Moderado</v>
      </c>
      <c r="W10" s="118" t="str">
        <f t="shared" si="6"/>
        <v>Cada 3 años</v>
      </c>
      <c r="X10" s="121" t="str">
        <f t="shared" si="7"/>
        <v/>
      </c>
      <c r="Y10" s="121" t="str">
        <f t="shared" si="8"/>
        <v/>
      </c>
      <c r="Z10" s="121" t="str">
        <f t="shared" si="9"/>
        <v>Fortalecimiento y capacidades humanas</v>
      </c>
      <c r="AA10" s="121" t="str">
        <f t="shared" si="10"/>
        <v/>
      </c>
      <c r="AB10" s="122"/>
    </row>
    <row r="11" spans="2:28" s="123" customFormat="1" ht="51" hidden="1" x14ac:dyDescent="0.25">
      <c r="B11" s="108"/>
      <c r="C11" s="109" t="s">
        <v>150</v>
      </c>
      <c r="D11" s="110">
        <v>0</v>
      </c>
      <c r="E11" s="110">
        <v>0</v>
      </c>
      <c r="F11" s="110">
        <v>0</v>
      </c>
      <c r="G11" s="110">
        <v>0</v>
      </c>
      <c r="H11" s="111">
        <f t="shared" si="0"/>
        <v>0</v>
      </c>
      <c r="I11" s="112" t="str">
        <f t="shared" si="11"/>
        <v>Bajo</v>
      </c>
      <c r="J11" s="113">
        <f t="shared" si="12"/>
        <v>1</v>
      </c>
      <c r="K11" s="114" t="s">
        <v>41</v>
      </c>
      <c r="L11" s="115">
        <f>INDEX(Tiempo_Ult_Aud_Calif,MATCH('Priorización Procesos'!K11,Tiempo_Ult_Aud_Def,0))</f>
        <v>2</v>
      </c>
      <c r="M11" s="116" t="s">
        <v>47</v>
      </c>
      <c r="N11" s="117">
        <f t="shared" si="1"/>
        <v>1</v>
      </c>
      <c r="O11" s="116" t="s">
        <v>67</v>
      </c>
      <c r="P11" s="118">
        <f t="shared" si="2"/>
        <v>5</v>
      </c>
      <c r="Q11" s="119" t="s">
        <v>69</v>
      </c>
      <c r="R11" s="118">
        <f t="shared" si="3"/>
        <v>1</v>
      </c>
      <c r="S11" s="116" t="s">
        <v>80</v>
      </c>
      <c r="T11" s="118">
        <f t="shared" si="4"/>
        <v>1</v>
      </c>
      <c r="U11" s="120">
        <f t="shared" si="13"/>
        <v>1.95</v>
      </c>
      <c r="V11" s="120" t="str">
        <f t="shared" si="14"/>
        <v>Bajo (Priorizado)</v>
      </c>
      <c r="W11" s="118" t="str">
        <f t="shared" si="6"/>
        <v>Cada 4 años</v>
      </c>
      <c r="X11" s="121" t="str">
        <f t="shared" si="7"/>
        <v/>
      </c>
      <c r="Y11" s="121" t="str">
        <f t="shared" si="8"/>
        <v/>
      </c>
      <c r="Z11" s="121" t="str">
        <f t="shared" si="9"/>
        <v/>
      </c>
      <c r="AA11" s="121" t="str">
        <f t="shared" si="10"/>
        <v>Gobierno de información y estadística</v>
      </c>
      <c r="AB11" s="122"/>
    </row>
    <row r="12" spans="2:28" s="123" customFormat="1" ht="51" hidden="1" x14ac:dyDescent="0.25">
      <c r="B12" s="108"/>
      <c r="C12" s="109" t="s">
        <v>151</v>
      </c>
      <c r="D12" s="110">
        <v>0</v>
      </c>
      <c r="E12" s="110">
        <v>0</v>
      </c>
      <c r="F12" s="110">
        <v>0</v>
      </c>
      <c r="G12" s="110">
        <v>0</v>
      </c>
      <c r="H12" s="111">
        <f t="shared" si="0"/>
        <v>0</v>
      </c>
      <c r="I12" s="112" t="str">
        <f t="shared" si="11"/>
        <v>Bajo</v>
      </c>
      <c r="J12" s="113">
        <f t="shared" si="12"/>
        <v>1</v>
      </c>
      <c r="K12" s="114" t="s">
        <v>40</v>
      </c>
      <c r="L12" s="115">
        <f>INDEX(Tiempo_Ult_Aud_Calif,MATCH('Priorización Procesos'!K12,Tiempo_Ult_Aud_Def,0))</f>
        <v>1</v>
      </c>
      <c r="M12" s="116" t="s">
        <v>47</v>
      </c>
      <c r="N12" s="117">
        <f t="shared" si="1"/>
        <v>1</v>
      </c>
      <c r="O12" s="116" t="s">
        <v>67</v>
      </c>
      <c r="P12" s="118">
        <f t="shared" si="2"/>
        <v>5</v>
      </c>
      <c r="Q12" s="119" t="s">
        <v>69</v>
      </c>
      <c r="R12" s="118">
        <f t="shared" si="3"/>
        <v>1</v>
      </c>
      <c r="S12" s="116" t="s">
        <v>80</v>
      </c>
      <c r="T12" s="118">
        <f t="shared" si="4"/>
        <v>1</v>
      </c>
      <c r="U12" s="120">
        <f t="shared" si="13"/>
        <v>1.7999999999999998</v>
      </c>
      <c r="V12" s="120" t="str">
        <f t="shared" si="14"/>
        <v>Bajo (Priorizado)</v>
      </c>
      <c r="W12" s="118" t="str">
        <f t="shared" si="6"/>
        <v>Cada 4 años</v>
      </c>
      <c r="X12" s="121" t="str">
        <f t="shared" si="7"/>
        <v/>
      </c>
      <c r="Y12" s="121" t="str">
        <f t="shared" si="8"/>
        <v/>
      </c>
      <c r="Z12" s="121" t="str">
        <f t="shared" si="9"/>
        <v/>
      </c>
      <c r="AA12" s="121" t="str">
        <f t="shared" si="10"/>
        <v>Diseño de instrumentos para el desarrollo económico inclusivo y cierre de brechas</v>
      </c>
      <c r="AB12" s="122"/>
    </row>
    <row r="13" spans="2:28" s="123" customFormat="1" ht="51" hidden="1" x14ac:dyDescent="0.25">
      <c r="B13" s="108"/>
      <c r="C13" s="109" t="s">
        <v>152</v>
      </c>
      <c r="D13" s="110">
        <v>0</v>
      </c>
      <c r="E13" s="110">
        <v>0</v>
      </c>
      <c r="F13" s="110">
        <v>0</v>
      </c>
      <c r="G13" s="110">
        <v>0</v>
      </c>
      <c r="H13" s="111">
        <f t="shared" si="0"/>
        <v>0</v>
      </c>
      <c r="I13" s="112" t="str">
        <f t="shared" si="11"/>
        <v>Bajo</v>
      </c>
      <c r="J13" s="113">
        <f t="shared" si="12"/>
        <v>1</v>
      </c>
      <c r="K13" s="114" t="s">
        <v>40</v>
      </c>
      <c r="L13" s="115">
        <f>INDEX(Tiempo_Ult_Aud_Calif,MATCH('Priorización Procesos'!K13,Tiempo_Ult_Aud_Def,0))</f>
        <v>1</v>
      </c>
      <c r="M13" s="116" t="s">
        <v>47</v>
      </c>
      <c r="N13" s="117">
        <f t="shared" si="1"/>
        <v>1</v>
      </c>
      <c r="O13" s="116" t="s">
        <v>64</v>
      </c>
      <c r="P13" s="118">
        <f t="shared" si="2"/>
        <v>2</v>
      </c>
      <c r="Q13" s="119" t="s">
        <v>72</v>
      </c>
      <c r="R13" s="118">
        <f t="shared" si="3"/>
        <v>4</v>
      </c>
      <c r="S13" s="116" t="s">
        <v>80</v>
      </c>
      <c r="T13" s="118">
        <f t="shared" si="4"/>
        <v>1</v>
      </c>
      <c r="U13" s="120">
        <f t="shared" si="13"/>
        <v>1.65</v>
      </c>
      <c r="V13" s="120" t="str">
        <f t="shared" si="14"/>
        <v>Bajo (Priorizado)</v>
      </c>
      <c r="W13" s="118" t="str">
        <f t="shared" si="6"/>
        <v>Cada 4 años</v>
      </c>
      <c r="X13" s="121" t="str">
        <f t="shared" si="7"/>
        <v/>
      </c>
      <c r="Y13" s="121" t="str">
        <f t="shared" si="8"/>
        <v/>
      </c>
      <c r="Z13" s="121" t="str">
        <f t="shared" si="9"/>
        <v/>
      </c>
      <c r="AA13" s="121" t="str">
        <f t="shared" si="10"/>
        <v>Fomento al desarrollo económico sostenible y a la oferta de valor de bienes y servicios</v>
      </c>
      <c r="AB13" s="122"/>
    </row>
    <row r="14" spans="2:28" s="123" customFormat="1" ht="51" hidden="1" x14ac:dyDescent="0.25">
      <c r="B14" s="108"/>
      <c r="C14" s="109" t="s">
        <v>153</v>
      </c>
      <c r="D14" s="110">
        <v>0</v>
      </c>
      <c r="E14" s="110">
        <v>0</v>
      </c>
      <c r="F14" s="110">
        <v>0</v>
      </c>
      <c r="G14" s="110">
        <v>0</v>
      </c>
      <c r="H14" s="111">
        <f t="shared" si="0"/>
        <v>0</v>
      </c>
      <c r="I14" s="112" t="str">
        <f t="shared" si="11"/>
        <v>Bajo</v>
      </c>
      <c r="J14" s="113">
        <f t="shared" si="12"/>
        <v>1</v>
      </c>
      <c r="K14" s="114" t="s">
        <v>44</v>
      </c>
      <c r="L14" s="115">
        <f>INDEX(Tiempo_Ult_Aud_Calif,MATCH('Priorización Procesos'!K14,Tiempo_Ult_Aud_Def,0))</f>
        <v>5</v>
      </c>
      <c r="M14" s="116" t="s">
        <v>47</v>
      </c>
      <c r="N14" s="117">
        <f t="shared" si="1"/>
        <v>1</v>
      </c>
      <c r="O14" s="116" t="s">
        <v>64</v>
      </c>
      <c r="P14" s="118">
        <f t="shared" si="2"/>
        <v>2</v>
      </c>
      <c r="Q14" s="119" t="s">
        <v>71</v>
      </c>
      <c r="R14" s="118">
        <f t="shared" si="3"/>
        <v>3</v>
      </c>
      <c r="S14" s="116" t="s">
        <v>76</v>
      </c>
      <c r="T14" s="118">
        <f t="shared" si="4"/>
        <v>5</v>
      </c>
      <c r="U14" s="120">
        <f t="shared" si="13"/>
        <v>2.9000000000000004</v>
      </c>
      <c r="V14" s="120" t="str">
        <f t="shared" si="14"/>
        <v>Moderado</v>
      </c>
      <c r="W14" s="118" t="str">
        <f t="shared" si="6"/>
        <v>Cada 3 años</v>
      </c>
      <c r="X14" s="121" t="str">
        <f t="shared" si="7"/>
        <v/>
      </c>
      <c r="Y14" s="121" t="str">
        <f t="shared" si="8"/>
        <v/>
      </c>
      <c r="Z14" s="121" t="str">
        <f t="shared" si="9"/>
        <v>Internacionalización e inversión por la transformación productiva</v>
      </c>
      <c r="AA14" s="121" t="str">
        <f t="shared" si="10"/>
        <v/>
      </c>
      <c r="AB14" s="122"/>
    </row>
    <row r="15" spans="2:28" s="123" customFormat="1" ht="38.25" hidden="1" x14ac:dyDescent="0.25">
      <c r="B15" s="108"/>
      <c r="C15" s="109" t="s">
        <v>154</v>
      </c>
      <c r="D15" s="110">
        <v>0</v>
      </c>
      <c r="E15" s="110">
        <v>0</v>
      </c>
      <c r="F15" s="110">
        <v>0</v>
      </c>
      <c r="G15" s="110">
        <v>0</v>
      </c>
      <c r="H15" s="111">
        <f t="shared" si="0"/>
        <v>0</v>
      </c>
      <c r="I15" s="112" t="str">
        <f t="shared" si="11"/>
        <v>Bajo</v>
      </c>
      <c r="J15" s="113">
        <f t="shared" si="12"/>
        <v>1</v>
      </c>
      <c r="K15" s="114" t="s">
        <v>41</v>
      </c>
      <c r="L15" s="115">
        <f>INDEX(Tiempo_Ult_Aud_Calif,MATCH('Priorización Procesos'!K15,Tiempo_Ult_Aud_Def,0))</f>
        <v>2</v>
      </c>
      <c r="M15" s="116" t="s">
        <v>47</v>
      </c>
      <c r="N15" s="117">
        <f t="shared" si="1"/>
        <v>1</v>
      </c>
      <c r="O15" s="116" t="s">
        <v>64</v>
      </c>
      <c r="P15" s="118">
        <f t="shared" si="2"/>
        <v>2</v>
      </c>
      <c r="Q15" s="119" t="s">
        <v>73</v>
      </c>
      <c r="R15" s="118">
        <f t="shared" si="3"/>
        <v>5</v>
      </c>
      <c r="S15" s="116" t="s">
        <v>80</v>
      </c>
      <c r="T15" s="118">
        <f t="shared" si="4"/>
        <v>1</v>
      </c>
      <c r="U15" s="120">
        <f t="shared" si="13"/>
        <v>1.95</v>
      </c>
      <c r="V15" s="120" t="str">
        <f t="shared" si="14"/>
        <v>Bajo (Priorizado)</v>
      </c>
      <c r="W15" s="118" t="str">
        <f t="shared" si="6"/>
        <v>Cada 4 años</v>
      </c>
      <c r="X15" s="121" t="str">
        <f t="shared" si="7"/>
        <v/>
      </c>
      <c r="Y15" s="121" t="str">
        <f t="shared" si="8"/>
        <v/>
      </c>
      <c r="Z15" s="121" t="str">
        <f t="shared" si="9"/>
        <v/>
      </c>
      <c r="AA15" s="121" t="str">
        <f t="shared" si="10"/>
        <v>Medición de los resultados de la política</v>
      </c>
      <c r="AB15" s="122"/>
    </row>
    <row r="16" spans="2:28" s="123" customFormat="1" ht="38.25" hidden="1" x14ac:dyDescent="0.25">
      <c r="B16" s="108"/>
      <c r="C16" s="109" t="s">
        <v>155</v>
      </c>
      <c r="D16" s="110">
        <v>0</v>
      </c>
      <c r="E16" s="110">
        <v>0</v>
      </c>
      <c r="F16" s="110">
        <v>0</v>
      </c>
      <c r="G16" s="110">
        <v>0</v>
      </c>
      <c r="H16" s="111">
        <f t="shared" si="0"/>
        <v>0</v>
      </c>
      <c r="I16" s="112" t="str">
        <f t="shared" si="11"/>
        <v>Bajo</v>
      </c>
      <c r="J16" s="113">
        <f t="shared" si="12"/>
        <v>1</v>
      </c>
      <c r="K16" s="114" t="s">
        <v>44</v>
      </c>
      <c r="L16" s="115">
        <f>INDEX(Tiempo_Ult_Aud_Calif,MATCH('Priorización Procesos'!K16,Tiempo_Ult_Aud_Def,0))</f>
        <v>5</v>
      </c>
      <c r="M16" s="116" t="s">
        <v>47</v>
      </c>
      <c r="N16" s="117">
        <f t="shared" si="1"/>
        <v>1</v>
      </c>
      <c r="O16" s="116" t="s">
        <v>64</v>
      </c>
      <c r="P16" s="118">
        <f t="shared" si="2"/>
        <v>2</v>
      </c>
      <c r="Q16" s="119" t="s">
        <v>69</v>
      </c>
      <c r="R16" s="118">
        <f t="shared" si="3"/>
        <v>1</v>
      </c>
      <c r="S16" s="116" t="s">
        <v>80</v>
      </c>
      <c r="T16" s="118">
        <f t="shared" si="4"/>
        <v>1</v>
      </c>
      <c r="U16" s="120">
        <f t="shared" si="13"/>
        <v>1.8</v>
      </c>
      <c r="V16" s="120" t="str">
        <f t="shared" si="14"/>
        <v>Bajo (Priorizado)</v>
      </c>
      <c r="W16" s="118" t="str">
        <f t="shared" si="6"/>
        <v>Cada 4 años</v>
      </c>
      <c r="X16" s="121" t="str">
        <f t="shared" si="7"/>
        <v/>
      </c>
      <c r="Y16" s="121" t="str">
        <f t="shared" si="8"/>
        <v/>
      </c>
      <c r="Z16" s="121" t="str">
        <f t="shared" si="9"/>
        <v/>
      </c>
      <c r="AA16" s="121" t="str">
        <f t="shared" si="10"/>
        <v>Gestión jurídica</v>
      </c>
      <c r="AB16" s="122"/>
    </row>
    <row r="17" spans="2:28" s="123" customFormat="1" ht="38.25" hidden="1" x14ac:dyDescent="0.25">
      <c r="B17" s="108"/>
      <c r="C17" s="109" t="s">
        <v>156</v>
      </c>
      <c r="D17" s="110">
        <v>0</v>
      </c>
      <c r="E17" s="110">
        <v>0</v>
      </c>
      <c r="F17" s="110">
        <v>0</v>
      </c>
      <c r="G17" s="110">
        <v>0</v>
      </c>
      <c r="H17" s="111">
        <f t="shared" si="0"/>
        <v>0</v>
      </c>
      <c r="I17" s="112" t="str">
        <f t="shared" si="11"/>
        <v>Bajo</v>
      </c>
      <c r="J17" s="113">
        <f t="shared" si="12"/>
        <v>1</v>
      </c>
      <c r="K17" s="114" t="s">
        <v>44</v>
      </c>
      <c r="L17" s="115">
        <f>INDEX(Tiempo_Ult_Aud_Calif,MATCH('Priorización Procesos'!K17,Tiempo_Ult_Aud_Def,0))</f>
        <v>5</v>
      </c>
      <c r="M17" s="116" t="s">
        <v>47</v>
      </c>
      <c r="N17" s="117">
        <f t="shared" si="1"/>
        <v>1</v>
      </c>
      <c r="O17" s="116" t="s">
        <v>65</v>
      </c>
      <c r="P17" s="118">
        <f t="shared" si="2"/>
        <v>3</v>
      </c>
      <c r="Q17" s="119" t="s">
        <v>69</v>
      </c>
      <c r="R17" s="118">
        <f t="shared" si="3"/>
        <v>1</v>
      </c>
      <c r="S17" s="116" t="s">
        <v>80</v>
      </c>
      <c r="T17" s="118">
        <f t="shared" si="4"/>
        <v>1</v>
      </c>
      <c r="U17" s="120">
        <f t="shared" si="13"/>
        <v>2</v>
      </c>
      <c r="V17" s="120" t="str">
        <f t="shared" si="14"/>
        <v>Moderado</v>
      </c>
      <c r="W17" s="118" t="str">
        <f t="shared" si="6"/>
        <v>Cada 3 años</v>
      </c>
      <c r="X17" s="121" t="str">
        <f t="shared" si="7"/>
        <v/>
      </c>
      <c r="Y17" s="121" t="str">
        <f t="shared" si="8"/>
        <v/>
      </c>
      <c r="Z17" s="121" t="str">
        <f t="shared" si="9"/>
        <v>Gestión de Recursos</v>
      </c>
      <c r="AA17" s="121" t="str">
        <f t="shared" si="10"/>
        <v/>
      </c>
      <c r="AB17" s="122"/>
    </row>
    <row r="18" spans="2:28" s="123" customFormat="1" ht="38.25" hidden="1" x14ac:dyDescent="0.25">
      <c r="B18" s="108"/>
      <c r="C18" s="109" t="s">
        <v>157</v>
      </c>
      <c r="D18" s="110">
        <v>0</v>
      </c>
      <c r="E18" s="110">
        <v>0</v>
      </c>
      <c r="F18" s="110">
        <v>0</v>
      </c>
      <c r="G18" s="110">
        <v>0</v>
      </c>
      <c r="H18" s="111">
        <f t="shared" si="0"/>
        <v>0</v>
      </c>
      <c r="I18" s="112" t="str">
        <f t="shared" si="11"/>
        <v>Bajo</v>
      </c>
      <c r="J18" s="113">
        <f t="shared" si="12"/>
        <v>1</v>
      </c>
      <c r="K18" s="114" t="s">
        <v>42</v>
      </c>
      <c r="L18" s="115">
        <f>INDEX(Tiempo_Ult_Aud_Calif,MATCH('Priorización Procesos'!K18,Tiempo_Ult_Aud_Def,0))</f>
        <v>3</v>
      </c>
      <c r="M18" s="116" t="s">
        <v>47</v>
      </c>
      <c r="N18" s="117">
        <f t="shared" si="1"/>
        <v>1</v>
      </c>
      <c r="O18" s="116" t="s">
        <v>64</v>
      </c>
      <c r="P18" s="118">
        <f t="shared" si="2"/>
        <v>2</v>
      </c>
      <c r="Q18" s="119" t="s">
        <v>70</v>
      </c>
      <c r="R18" s="118">
        <f t="shared" si="3"/>
        <v>2</v>
      </c>
      <c r="S18" s="116" t="s">
        <v>80</v>
      </c>
      <c r="T18" s="118">
        <f t="shared" si="4"/>
        <v>1</v>
      </c>
      <c r="U18" s="120">
        <f t="shared" si="13"/>
        <v>1.65</v>
      </c>
      <c r="V18" s="120" t="str">
        <f t="shared" si="14"/>
        <v>Bajo (Priorizado)</v>
      </c>
      <c r="W18" s="118" t="str">
        <f t="shared" si="6"/>
        <v>Cada 4 años</v>
      </c>
      <c r="X18" s="121" t="str">
        <f t="shared" si="7"/>
        <v/>
      </c>
      <c r="Y18" s="121" t="str">
        <f t="shared" si="8"/>
        <v/>
      </c>
      <c r="Z18" s="121" t="str">
        <f t="shared" si="9"/>
        <v/>
      </c>
      <c r="AA18" s="121" t="str">
        <f t="shared" si="10"/>
        <v>Gestión documental</v>
      </c>
      <c r="AB18" s="122"/>
    </row>
    <row r="19" spans="2:28" s="123" customFormat="1" ht="38.25" hidden="1" x14ac:dyDescent="0.25">
      <c r="B19" s="108"/>
      <c r="C19" s="109" t="s">
        <v>158</v>
      </c>
      <c r="D19" s="110">
        <v>0</v>
      </c>
      <c r="E19" s="110">
        <v>0</v>
      </c>
      <c r="F19" s="110">
        <v>0</v>
      </c>
      <c r="G19" s="110">
        <v>0</v>
      </c>
      <c r="H19" s="111">
        <f t="shared" si="0"/>
        <v>0</v>
      </c>
      <c r="I19" s="112" t="str">
        <f t="shared" si="11"/>
        <v>Bajo</v>
      </c>
      <c r="J19" s="113">
        <f t="shared" si="12"/>
        <v>1</v>
      </c>
      <c r="K19" s="114" t="s">
        <v>44</v>
      </c>
      <c r="L19" s="115">
        <f>INDEX(Tiempo_Ult_Aud_Calif,MATCH('Priorización Procesos'!K19,Tiempo_Ult_Aud_Def,0))</f>
        <v>5</v>
      </c>
      <c r="M19" s="116" t="s">
        <v>47</v>
      </c>
      <c r="N19" s="117">
        <f t="shared" si="1"/>
        <v>1</v>
      </c>
      <c r="O19" s="116" t="s">
        <v>64</v>
      </c>
      <c r="P19" s="118">
        <f t="shared" si="2"/>
        <v>2</v>
      </c>
      <c r="Q19" s="119" t="s">
        <v>69</v>
      </c>
      <c r="R19" s="118">
        <f t="shared" si="3"/>
        <v>1</v>
      </c>
      <c r="S19" s="116" t="s">
        <v>80</v>
      </c>
      <c r="T19" s="118">
        <f t="shared" si="4"/>
        <v>1</v>
      </c>
      <c r="U19" s="120">
        <f t="shared" si="13"/>
        <v>1.8</v>
      </c>
      <c r="V19" s="120" t="str">
        <f t="shared" si="14"/>
        <v>Bajo (Priorizado)</v>
      </c>
      <c r="W19" s="118" t="str">
        <f t="shared" si="6"/>
        <v>Cada 4 años</v>
      </c>
      <c r="X19" s="121" t="str">
        <f t="shared" si="7"/>
        <v/>
      </c>
      <c r="Y19" s="121" t="str">
        <f t="shared" si="8"/>
        <v/>
      </c>
      <c r="Z19" s="121" t="str">
        <f t="shared" si="9"/>
        <v/>
      </c>
      <c r="AA19" s="121" t="str">
        <f t="shared" si="10"/>
        <v>Evaluación, seguimiento y mejora institucional</v>
      </c>
      <c r="AB19" s="122"/>
    </row>
    <row r="20" spans="2:28" s="123" customFormat="1" ht="89.25" x14ac:dyDescent="0.25">
      <c r="B20" s="108"/>
      <c r="C20" s="172" t="s">
        <v>159</v>
      </c>
      <c r="D20" s="110">
        <v>0</v>
      </c>
      <c r="E20" s="110">
        <v>1</v>
      </c>
      <c r="F20" s="110">
        <v>1</v>
      </c>
      <c r="G20" s="110">
        <v>1</v>
      </c>
      <c r="H20" s="111">
        <f t="shared" si="0"/>
        <v>3</v>
      </c>
      <c r="I20" s="112" t="str">
        <f t="shared" si="11"/>
        <v>Alto</v>
      </c>
      <c r="J20" s="113">
        <f t="shared" si="12"/>
        <v>4</v>
      </c>
      <c r="K20" s="174" t="s">
        <v>43</v>
      </c>
      <c r="L20" s="115">
        <f>INDEX(Tiempo_Ult_Aud_Calif,MATCH('Priorización Procesos'!K20,Tiempo_Ult_Aud_Def,0))</f>
        <v>4</v>
      </c>
      <c r="M20" s="116" t="s">
        <v>47</v>
      </c>
      <c r="N20" s="117">
        <f t="shared" si="1"/>
        <v>1</v>
      </c>
      <c r="O20" s="116" t="s">
        <v>67</v>
      </c>
      <c r="P20" s="118">
        <f t="shared" si="2"/>
        <v>5</v>
      </c>
      <c r="Q20" s="119" t="s">
        <v>71</v>
      </c>
      <c r="R20" s="118">
        <f t="shared" si="3"/>
        <v>3</v>
      </c>
      <c r="S20" s="116" t="s">
        <v>80</v>
      </c>
      <c r="T20" s="118">
        <f t="shared" si="4"/>
        <v>1</v>
      </c>
      <c r="U20" s="120">
        <f t="shared" si="13"/>
        <v>3.1500000000000004</v>
      </c>
      <c r="V20" s="120" t="str">
        <f t="shared" si="14"/>
        <v>Alto</v>
      </c>
      <c r="W20" s="118" t="str">
        <f t="shared" si="6"/>
        <v>Cada 2 años</v>
      </c>
      <c r="X20" s="121" t="str">
        <f t="shared" si="7"/>
        <v/>
      </c>
      <c r="Y20" s="121" t="str">
        <f t="shared" si="8"/>
        <v>Administración, profundización y aprovechamiento de acuerdos y relaciones comerciales - Viceministerio de Comercio Exterior</v>
      </c>
      <c r="Z20" s="121" t="str">
        <f t="shared" si="9"/>
        <v/>
      </c>
      <c r="AA20" s="121" t="str">
        <f t="shared" si="10"/>
        <v>Administración, profundización y aprovechamiento de acuerdos y relaciones comerciales - Viceministerio de Comercio Exterior</v>
      </c>
      <c r="AB20" s="122"/>
    </row>
    <row r="21" spans="2:28" s="123" customFormat="1" ht="51" x14ac:dyDescent="0.25">
      <c r="B21" s="108"/>
      <c r="C21" s="172" t="s">
        <v>160</v>
      </c>
      <c r="D21" s="110">
        <v>0</v>
      </c>
      <c r="E21" s="110">
        <v>0</v>
      </c>
      <c r="F21" s="110">
        <v>1</v>
      </c>
      <c r="G21" s="110">
        <v>1</v>
      </c>
      <c r="H21" s="111">
        <f t="shared" si="0"/>
        <v>2</v>
      </c>
      <c r="I21" s="112" t="str">
        <f t="shared" si="11"/>
        <v>Moderado</v>
      </c>
      <c r="J21" s="113">
        <f t="shared" si="12"/>
        <v>3</v>
      </c>
      <c r="K21" s="174" t="s">
        <v>42</v>
      </c>
      <c r="L21" s="115">
        <f>INDEX(Tiempo_Ult_Aud_Calif,MATCH('Priorización Procesos'!K21,Tiempo_Ult_Aud_Def,0))</f>
        <v>3</v>
      </c>
      <c r="M21" s="116" t="s">
        <v>47</v>
      </c>
      <c r="N21" s="117">
        <f t="shared" si="1"/>
        <v>1</v>
      </c>
      <c r="O21" s="116" t="s">
        <v>63</v>
      </c>
      <c r="P21" s="125">
        <f t="shared" si="2"/>
        <v>1</v>
      </c>
      <c r="Q21" s="119" t="s">
        <v>71</v>
      </c>
      <c r="R21" s="118">
        <f t="shared" si="3"/>
        <v>3</v>
      </c>
      <c r="S21" s="116" t="s">
        <v>80</v>
      </c>
      <c r="T21" s="118">
        <f t="shared" si="4"/>
        <v>1</v>
      </c>
      <c r="U21" s="120">
        <f t="shared" si="13"/>
        <v>2</v>
      </c>
      <c r="V21" s="120" t="str">
        <f t="shared" si="14"/>
        <v>Moderado</v>
      </c>
      <c r="W21" s="118" t="str">
        <f t="shared" si="6"/>
        <v>Cada 3 años</v>
      </c>
      <c r="X21" s="121" t="str">
        <f t="shared" si="7"/>
        <v/>
      </c>
      <c r="Y21" s="121" t="str">
        <f t="shared" si="8"/>
        <v/>
      </c>
      <c r="Z21" s="121" t="str">
        <f t="shared" si="9"/>
        <v>Facilitación del comercio y defensa comercial - Viceministerio de Comercio Exterior</v>
      </c>
      <c r="AA21" s="121" t="str">
        <f t="shared" si="10"/>
        <v/>
      </c>
      <c r="AB21" s="122"/>
    </row>
    <row r="22" spans="2:28" s="130" customFormat="1" ht="39.950000000000003" customHeight="1" x14ac:dyDescent="0.25">
      <c r="B22" s="126"/>
      <c r="C22" s="172" t="s">
        <v>161</v>
      </c>
      <c r="D22" s="127">
        <v>0</v>
      </c>
      <c r="E22" s="127">
        <v>3</v>
      </c>
      <c r="F22" s="127">
        <f>1+1</f>
        <v>2</v>
      </c>
      <c r="G22" s="127">
        <v>1</v>
      </c>
      <c r="H22" s="111">
        <f t="shared" si="0"/>
        <v>6</v>
      </c>
      <c r="I22" s="155" t="str">
        <f t="shared" si="11"/>
        <v>Alto</v>
      </c>
      <c r="J22" s="113">
        <f t="shared" si="12"/>
        <v>4</v>
      </c>
      <c r="K22" s="174" t="s">
        <v>42</v>
      </c>
      <c r="L22" s="115">
        <f>INDEX(Tiempo_Ult_Aud_Calif,MATCH('Priorización Procesos'!K22,Tiempo_Ult_Aud_Def,0))</f>
        <v>3</v>
      </c>
      <c r="M22" s="116" t="s">
        <v>47</v>
      </c>
      <c r="N22" s="117">
        <f t="shared" si="1"/>
        <v>1</v>
      </c>
      <c r="O22" s="116" t="s">
        <v>63</v>
      </c>
      <c r="P22" s="125">
        <f t="shared" si="2"/>
        <v>1</v>
      </c>
      <c r="Q22" s="119" t="s">
        <v>69</v>
      </c>
      <c r="R22" s="118">
        <f t="shared" si="3"/>
        <v>1</v>
      </c>
      <c r="S22" s="116" t="s">
        <v>80</v>
      </c>
      <c r="T22" s="118">
        <f t="shared" si="4"/>
        <v>1</v>
      </c>
      <c r="U22" s="120">
        <f t="shared" si="13"/>
        <v>1.9</v>
      </c>
      <c r="V22" s="120" t="str">
        <f t="shared" si="14"/>
        <v>Bajo (Priorizado)</v>
      </c>
      <c r="W22" s="118" t="str">
        <f t="shared" si="6"/>
        <v>Cada 4 años</v>
      </c>
      <c r="X22" s="121" t="str">
        <f t="shared" si="7"/>
        <v/>
      </c>
      <c r="Y22" s="121" t="str">
        <f t="shared" si="8"/>
        <v/>
      </c>
      <c r="Z22" s="121" t="str">
        <f t="shared" si="9"/>
        <v/>
      </c>
      <c r="AA22" s="121" t="str">
        <f t="shared" si="10"/>
        <v>Desarrollo empresarial - Viceministerio de Desarrollo Empresarial</v>
      </c>
      <c r="AB22" s="129"/>
    </row>
    <row r="23" spans="2:28" s="123" customFormat="1" ht="63.75" x14ac:dyDescent="0.25">
      <c r="B23" s="108"/>
      <c r="C23" s="172" t="s">
        <v>162</v>
      </c>
      <c r="D23" s="110">
        <v>4</v>
      </c>
      <c r="E23" s="110">
        <v>0</v>
      </c>
      <c r="F23" s="110">
        <f>2+1+2</f>
        <v>5</v>
      </c>
      <c r="G23" s="110">
        <v>6</v>
      </c>
      <c r="H23" s="111">
        <f t="shared" ref="H23:H25" si="15">SUM(D23:G23)</f>
        <v>15</v>
      </c>
      <c r="I23" s="112" t="str">
        <f t="shared" ref="I23:I25" si="16">IF(D23&gt;=1,"Extremo",IF(E23&gt;=1,"Alto",IF(F23&gt;=1,"Moderado",IF(G23&gt;=1,"Bajo",IF(H23=0,"Bajo")))))</f>
        <v>Extremo</v>
      </c>
      <c r="J23" s="113">
        <f t="shared" ref="J23:J25" si="17">IF(D23&gt;=1,5,IF(E23&gt;=1,4,IF(F23&gt;=1,3,IF(G23&gt;=1,2,IF(H23=0,1)))))</f>
        <v>5</v>
      </c>
      <c r="K23" s="174" t="s">
        <v>43</v>
      </c>
      <c r="L23" s="115">
        <f>INDEX(Tiempo_Ult_Aud_Calif,MATCH('Priorización Procesos'!K23,Tiempo_Ult_Aud_Def,0))</f>
        <v>4</v>
      </c>
      <c r="M23" s="116" t="s">
        <v>47</v>
      </c>
      <c r="N23" s="117">
        <f t="shared" ref="N23:N25" si="18">INDEX(Nivel_Directivo_Calif,MATCH(M23,Nivel_Directivo_Def,0))</f>
        <v>1</v>
      </c>
      <c r="O23" s="116" t="s">
        <v>67</v>
      </c>
      <c r="P23" s="118">
        <f t="shared" ref="P23:P25" si="19">INDEX(Impacto_Obj_Est_Calif,MATCH(O23,Impacto_Obj_Est_Def,0))</f>
        <v>5</v>
      </c>
      <c r="Q23" s="119" t="s">
        <v>70</v>
      </c>
      <c r="R23" s="118">
        <f t="shared" ref="R23:R25" si="20">INDEX(Result_Aud_Ant_Calif,MATCH(Q23,Result_Aud_Ant_Def,0))</f>
        <v>2</v>
      </c>
      <c r="S23" s="116" t="s">
        <v>80</v>
      </c>
      <c r="T23" s="118">
        <f t="shared" ref="T23:T25" si="21">INDEX(Impacto_Ppto_Calif,MATCH(S23,Impacto_Ppto_Def,0))</f>
        <v>1</v>
      </c>
      <c r="U23" s="120">
        <f t="shared" ref="U23:U25" si="22">$J$6*J23+$L$6*L23+$N$6*N23+$P$6*P23+$R$6*R23+$T$6*T23</f>
        <v>3.2</v>
      </c>
      <c r="V23" s="120" t="str">
        <f t="shared" ref="V23:V25" si="23">LOOKUP(U23,Nivel_Criticidad)</f>
        <v>Alto</v>
      </c>
      <c r="W23" s="118" t="str">
        <f t="shared" ref="W23:W25" si="24">INDEX(Ciclo_Rotación_Calif,MATCH(V23,Ciclo_Rotación_Def,0))</f>
        <v>Cada 2 años</v>
      </c>
      <c r="X23" s="121" t="str">
        <f t="shared" ref="X23:X25" si="25">IF(W23="Cada año",C23,"")</f>
        <v/>
      </c>
      <c r="Y23" s="121" t="str">
        <f t="shared" ref="Y23:Y25" si="26">IF(OR(W23="Cada año",W23="Cada 2 años"),C23,"")</f>
        <v>Fortalecimiento de la competitividad y promoción del turismo - Viceministerio de Turismo</v>
      </c>
      <c r="Z23" s="121" t="str">
        <f t="shared" ref="Z23:Z25" si="27">IF(OR(W23="Cada año",W23="Cada 3 años"),C23,"")</f>
        <v/>
      </c>
      <c r="AA23" s="121" t="str">
        <f t="shared" ref="AA23:AA25" si="28">IF(OR(W23="Cada año",W23="Cada 2 años",W23="Cada 4 años"),C23,"")</f>
        <v>Fortalecimiento de la competitividad y promoción del turismo - Viceministerio de Turismo</v>
      </c>
      <c r="AB23" s="122"/>
    </row>
    <row r="24" spans="2:28" s="123" customFormat="1" ht="38.25" x14ac:dyDescent="0.25">
      <c r="B24" s="108"/>
      <c r="C24" s="172" t="s">
        <v>163</v>
      </c>
      <c r="D24" s="110">
        <v>1</v>
      </c>
      <c r="E24" s="110">
        <v>0</v>
      </c>
      <c r="F24" s="110">
        <v>2</v>
      </c>
      <c r="G24" s="110">
        <v>0</v>
      </c>
      <c r="H24" s="111">
        <f t="shared" si="15"/>
        <v>3</v>
      </c>
      <c r="I24" s="112" t="str">
        <f t="shared" si="16"/>
        <v>Extremo</v>
      </c>
      <c r="J24" s="113">
        <f t="shared" si="17"/>
        <v>5</v>
      </c>
      <c r="K24" s="174" t="s">
        <v>40</v>
      </c>
      <c r="L24" s="115">
        <f>INDEX(Tiempo_Ult_Aud_Calif,MATCH('Priorización Procesos'!K24,Tiempo_Ult_Aud_Def,0))</f>
        <v>1</v>
      </c>
      <c r="M24" s="116" t="s">
        <v>47</v>
      </c>
      <c r="N24" s="117">
        <f t="shared" si="18"/>
        <v>1</v>
      </c>
      <c r="O24" s="116" t="s">
        <v>63</v>
      </c>
      <c r="P24" s="118">
        <f t="shared" si="19"/>
        <v>1</v>
      </c>
      <c r="Q24" s="119" t="s">
        <v>73</v>
      </c>
      <c r="R24" s="118">
        <f t="shared" si="20"/>
        <v>5</v>
      </c>
      <c r="S24" s="154" t="s">
        <v>77</v>
      </c>
      <c r="T24" s="118">
        <f t="shared" si="21"/>
        <v>4</v>
      </c>
      <c r="U24" s="120">
        <f t="shared" si="22"/>
        <v>3</v>
      </c>
      <c r="V24" s="120" t="str">
        <f t="shared" si="23"/>
        <v>Alto</v>
      </c>
      <c r="W24" s="118" t="str">
        <f t="shared" si="24"/>
        <v>Cada 2 años</v>
      </c>
      <c r="X24" s="121" t="str">
        <f t="shared" si="25"/>
        <v/>
      </c>
      <c r="Y24" s="121" t="str">
        <f t="shared" si="26"/>
        <v>Gestión del talento humano</v>
      </c>
      <c r="Z24" s="121" t="str">
        <f t="shared" si="27"/>
        <v/>
      </c>
      <c r="AA24" s="121" t="str">
        <f t="shared" si="28"/>
        <v>Gestión del talento humano</v>
      </c>
      <c r="AB24" s="122"/>
    </row>
    <row r="25" spans="2:28" s="130" customFormat="1" ht="39.950000000000003" customHeight="1" x14ac:dyDescent="0.25">
      <c r="B25" s="126"/>
      <c r="C25" s="172" t="s">
        <v>164</v>
      </c>
      <c r="D25" s="127">
        <v>0</v>
      </c>
      <c r="E25" s="127">
        <v>0</v>
      </c>
      <c r="F25" s="127">
        <v>1</v>
      </c>
      <c r="G25" s="127">
        <v>0</v>
      </c>
      <c r="H25" s="111">
        <f t="shared" si="15"/>
        <v>1</v>
      </c>
      <c r="I25" s="128" t="str">
        <f t="shared" si="16"/>
        <v>Moderado</v>
      </c>
      <c r="J25" s="113">
        <f t="shared" si="17"/>
        <v>3</v>
      </c>
      <c r="K25" s="174" t="s">
        <v>42</v>
      </c>
      <c r="L25" s="115">
        <f>INDEX(Tiempo_Ult_Aud_Calif,MATCH('Priorización Procesos'!K25,Tiempo_Ult_Aud_Def,0))</f>
        <v>3</v>
      </c>
      <c r="M25" s="116" t="s">
        <v>47</v>
      </c>
      <c r="N25" s="117">
        <f t="shared" si="18"/>
        <v>1</v>
      </c>
      <c r="O25" s="116" t="s">
        <v>63</v>
      </c>
      <c r="P25" s="118">
        <f t="shared" si="19"/>
        <v>1</v>
      </c>
      <c r="Q25" s="119" t="s">
        <v>70</v>
      </c>
      <c r="R25" s="118">
        <f t="shared" si="20"/>
        <v>2</v>
      </c>
      <c r="S25" s="116" t="s">
        <v>80</v>
      </c>
      <c r="T25" s="118">
        <f t="shared" si="21"/>
        <v>1</v>
      </c>
      <c r="U25" s="120">
        <f t="shared" si="22"/>
        <v>1.85</v>
      </c>
      <c r="V25" s="120" t="str">
        <f t="shared" si="23"/>
        <v>Bajo (Priorizado)</v>
      </c>
      <c r="W25" s="118" t="str">
        <f t="shared" si="24"/>
        <v>Cada 4 años</v>
      </c>
      <c r="X25" s="121" t="str">
        <f t="shared" si="25"/>
        <v/>
      </c>
      <c r="Y25" s="121" t="str">
        <f t="shared" si="26"/>
        <v/>
      </c>
      <c r="Z25" s="121" t="str">
        <f t="shared" si="27"/>
        <v/>
      </c>
      <c r="AA25" s="121" t="str">
        <f t="shared" si="28"/>
        <v>Direccionamiento estratégico</v>
      </c>
      <c r="AB25" s="129"/>
    </row>
    <row r="26" spans="2:28" s="123" customFormat="1" ht="51" x14ac:dyDescent="0.25">
      <c r="B26" s="108"/>
      <c r="C26" s="172" t="s">
        <v>165</v>
      </c>
      <c r="D26" s="110">
        <v>0</v>
      </c>
      <c r="E26" s="110">
        <v>0</v>
      </c>
      <c r="F26" s="110">
        <v>0</v>
      </c>
      <c r="G26" s="110">
        <v>0</v>
      </c>
      <c r="H26" s="111">
        <f t="shared" ref="H26:H28" si="29">SUM(D26:G26)</f>
        <v>0</v>
      </c>
      <c r="I26" s="112" t="str">
        <f t="shared" ref="I26:I28" si="30">IF(D26&gt;=1,"Extremo",IF(E26&gt;=1,"Alto",IF(F26&gt;=1,"Moderado",IF(G26&gt;=1,"Bajo",IF(H26=0,"Bajo")))))</f>
        <v>Bajo</v>
      </c>
      <c r="J26" s="113">
        <f t="shared" ref="J26:J28" si="31">IF(D26&gt;=1,5,IF(E26&gt;=1,4,IF(F26&gt;=1,3,IF(G26&gt;=1,2,IF(H26=0,1)))))</f>
        <v>1</v>
      </c>
      <c r="K26" s="174" t="s">
        <v>44</v>
      </c>
      <c r="L26" s="115">
        <f>INDEX(Tiempo_Ult_Aud_Calif,MATCH('Priorización Procesos'!K26,Tiempo_Ult_Aud_Def,0))</f>
        <v>5</v>
      </c>
      <c r="M26" s="116" t="s">
        <v>47</v>
      </c>
      <c r="N26" s="117">
        <f t="shared" ref="N26:N28" si="32">INDEX(Nivel_Directivo_Calif,MATCH(M26,Nivel_Directivo_Def,0))</f>
        <v>1</v>
      </c>
      <c r="O26" s="116" t="s">
        <v>67</v>
      </c>
      <c r="P26" s="118">
        <f t="shared" ref="P26:P28" si="33">INDEX(Impacto_Obj_Est_Calif,MATCH(O26,Impacto_Obj_Est_Def,0))</f>
        <v>5</v>
      </c>
      <c r="Q26" s="119" t="s">
        <v>69</v>
      </c>
      <c r="R26" s="118">
        <f t="shared" ref="R26:R28" si="34">INDEX(Result_Aud_Ant_Calif,MATCH(Q26,Result_Aud_Ant_Def,0))</f>
        <v>1</v>
      </c>
      <c r="S26" s="116" t="s">
        <v>80</v>
      </c>
      <c r="T26" s="118">
        <f t="shared" ref="T26:T28" si="35">INDEX(Impacto_Ppto_Calif,MATCH(S26,Impacto_Ppto_Def,0))</f>
        <v>1</v>
      </c>
      <c r="U26" s="120">
        <f t="shared" ref="U26:U28" si="36">$J$6*J26+$L$6*L26+$N$6*N26+$P$6*P26+$R$6*R26+$T$6*T26</f>
        <v>2.4</v>
      </c>
      <c r="V26" s="120" t="str">
        <f t="shared" ref="V26:V28" si="37">LOOKUP(U26,Nivel_Criticidad)</f>
        <v>Moderado</v>
      </c>
      <c r="W26" s="118" t="str">
        <f t="shared" ref="W26:W28" si="38">INDEX(Ciclo_Rotación_Calif,MATCH(V26,Ciclo_Rotación_Def,0))</f>
        <v>Cada 3 años</v>
      </c>
      <c r="X26" s="121" t="str">
        <f t="shared" ref="X26:X28" si="39">IF(W26="Cada año",C26,"")</f>
        <v/>
      </c>
      <c r="Y26" s="121" t="str">
        <f t="shared" ref="Y26:Y28" si="40">IF(OR(W26="Cada año",W26="Cada 2 años"),C26,"")</f>
        <v/>
      </c>
      <c r="Z26" s="121" t="str">
        <f t="shared" ref="Z26:Z28" si="41">IF(OR(W26="Cada año",W26="Cada 3 años"),C26,"")</f>
        <v>Relacionamiento con la ciudadanía</v>
      </c>
      <c r="AA26" s="121" t="str">
        <f t="shared" ref="AA26:AA28" si="42">IF(OR(W26="Cada año",W26="Cada 2 años",W26="Cada 4 años"),C26,"")</f>
        <v/>
      </c>
      <c r="AB26" s="122"/>
    </row>
    <row r="27" spans="2:28" s="123" customFormat="1" ht="38.25" x14ac:dyDescent="0.25">
      <c r="B27" s="108"/>
      <c r="C27" s="172" t="s">
        <v>166</v>
      </c>
      <c r="D27" s="110">
        <v>0</v>
      </c>
      <c r="E27" s="110">
        <v>1</v>
      </c>
      <c r="F27" s="110">
        <v>0</v>
      </c>
      <c r="G27" s="110">
        <v>0</v>
      </c>
      <c r="H27" s="111">
        <f t="shared" si="29"/>
        <v>1</v>
      </c>
      <c r="I27" s="155" t="str">
        <f t="shared" si="30"/>
        <v>Alto</v>
      </c>
      <c r="J27" s="113">
        <f t="shared" si="31"/>
        <v>4</v>
      </c>
      <c r="K27" s="174" t="s">
        <v>40</v>
      </c>
      <c r="L27" s="115">
        <f>INDEX(Tiempo_Ult_Aud_Calif,MATCH('Priorización Procesos'!K27,Tiempo_Ult_Aud_Def,0))</f>
        <v>1</v>
      </c>
      <c r="M27" s="116" t="s">
        <v>47</v>
      </c>
      <c r="N27" s="117">
        <f t="shared" si="32"/>
        <v>1</v>
      </c>
      <c r="O27" s="116" t="s">
        <v>63</v>
      </c>
      <c r="P27" s="118">
        <f t="shared" si="33"/>
        <v>1</v>
      </c>
      <c r="Q27" s="119" t="s">
        <v>73</v>
      </c>
      <c r="R27" s="118">
        <f t="shared" si="34"/>
        <v>5</v>
      </c>
      <c r="S27" s="116" t="s">
        <v>80</v>
      </c>
      <c r="T27" s="118">
        <f t="shared" si="35"/>
        <v>1</v>
      </c>
      <c r="U27" s="120">
        <f t="shared" si="36"/>
        <v>2.2000000000000002</v>
      </c>
      <c r="V27" s="120" t="str">
        <f t="shared" si="37"/>
        <v>Moderado</v>
      </c>
      <c r="W27" s="118" t="str">
        <f t="shared" si="38"/>
        <v>Cada 3 años</v>
      </c>
      <c r="X27" s="121" t="str">
        <f t="shared" si="39"/>
        <v/>
      </c>
      <c r="Y27" s="121" t="str">
        <f t="shared" si="40"/>
        <v/>
      </c>
      <c r="Z27" s="121" t="str">
        <f t="shared" si="41"/>
        <v>Gestión TI</v>
      </c>
      <c r="AA27" s="121" t="str">
        <f t="shared" si="42"/>
        <v/>
      </c>
      <c r="AB27" s="122"/>
    </row>
    <row r="28" spans="2:28" s="130" customFormat="1" ht="39.950000000000003" customHeight="1" x14ac:dyDescent="0.25">
      <c r="B28" s="126"/>
      <c r="C28" s="172" t="s">
        <v>167</v>
      </c>
      <c r="D28" s="127">
        <v>0</v>
      </c>
      <c r="E28" s="127">
        <v>0</v>
      </c>
      <c r="F28" s="127">
        <v>1</v>
      </c>
      <c r="G28" s="127">
        <v>0</v>
      </c>
      <c r="H28" s="111">
        <f t="shared" si="29"/>
        <v>1</v>
      </c>
      <c r="I28" s="128" t="str">
        <f t="shared" si="30"/>
        <v>Moderado</v>
      </c>
      <c r="J28" s="113">
        <f t="shared" si="31"/>
        <v>3</v>
      </c>
      <c r="K28" s="174" t="s">
        <v>40</v>
      </c>
      <c r="L28" s="115">
        <f>INDEX(Tiempo_Ult_Aud_Calif,MATCH('Priorización Procesos'!K28,Tiempo_Ult_Aud_Def,0))</f>
        <v>1</v>
      </c>
      <c r="M28" s="116" t="s">
        <v>47</v>
      </c>
      <c r="N28" s="117">
        <f t="shared" si="32"/>
        <v>1</v>
      </c>
      <c r="O28" s="116" t="s">
        <v>63</v>
      </c>
      <c r="P28" s="118">
        <f t="shared" si="33"/>
        <v>1</v>
      </c>
      <c r="Q28" s="119" t="s">
        <v>70</v>
      </c>
      <c r="R28" s="118">
        <f t="shared" si="34"/>
        <v>2</v>
      </c>
      <c r="S28" s="116" t="s">
        <v>80</v>
      </c>
      <c r="T28" s="118">
        <f t="shared" si="35"/>
        <v>1</v>
      </c>
      <c r="U28" s="120">
        <f t="shared" si="36"/>
        <v>1.55</v>
      </c>
      <c r="V28" s="120" t="str">
        <f t="shared" si="37"/>
        <v>Bajo (Priorizado)</v>
      </c>
      <c r="W28" s="118" t="str">
        <f t="shared" si="38"/>
        <v>Cada 4 años</v>
      </c>
      <c r="X28" s="121" t="str">
        <f t="shared" si="39"/>
        <v/>
      </c>
      <c r="Y28" s="121" t="str">
        <f t="shared" si="40"/>
        <v/>
      </c>
      <c r="Z28" s="121" t="str">
        <f t="shared" si="41"/>
        <v/>
      </c>
      <c r="AA28" s="121" t="str">
        <f t="shared" si="42"/>
        <v>Gestión de recursos financieros</v>
      </c>
      <c r="AB28" s="129"/>
    </row>
    <row r="29" spans="2:28" s="123" customFormat="1" ht="51" x14ac:dyDescent="0.25">
      <c r="B29" s="108"/>
      <c r="C29" s="172" t="s">
        <v>168</v>
      </c>
      <c r="D29" s="110">
        <v>0</v>
      </c>
      <c r="E29" s="110">
        <v>0</v>
      </c>
      <c r="F29" s="110">
        <v>1</v>
      </c>
      <c r="G29" s="110">
        <v>0</v>
      </c>
      <c r="H29" s="111">
        <f t="shared" si="0"/>
        <v>1</v>
      </c>
      <c r="I29" s="112" t="str">
        <f t="shared" si="11"/>
        <v>Moderado</v>
      </c>
      <c r="J29" s="113">
        <f t="shared" si="12"/>
        <v>3</v>
      </c>
      <c r="K29" s="174" t="s">
        <v>43</v>
      </c>
      <c r="L29" s="115">
        <f>INDEX(Tiempo_Ult_Aud_Calif,MATCH('Priorización Procesos'!K29,Tiempo_Ult_Aud_Def,0))</f>
        <v>4</v>
      </c>
      <c r="M29" s="116" t="s">
        <v>47</v>
      </c>
      <c r="N29" s="117">
        <f t="shared" si="1"/>
        <v>1</v>
      </c>
      <c r="O29" s="116" t="s">
        <v>67</v>
      </c>
      <c r="P29" s="118">
        <f t="shared" si="2"/>
        <v>5</v>
      </c>
      <c r="Q29" s="119" t="s">
        <v>70</v>
      </c>
      <c r="R29" s="118">
        <f t="shared" si="3"/>
        <v>2</v>
      </c>
      <c r="S29" s="116" t="s">
        <v>80</v>
      </c>
      <c r="T29" s="118">
        <f t="shared" si="4"/>
        <v>1</v>
      </c>
      <c r="U29" s="120">
        <f t="shared" si="13"/>
        <v>2.8000000000000003</v>
      </c>
      <c r="V29" s="120" t="str">
        <f t="shared" si="14"/>
        <v>Moderado</v>
      </c>
      <c r="W29" s="118" t="str">
        <f t="shared" si="6"/>
        <v>Cada 3 años</v>
      </c>
      <c r="X29" s="121" t="str">
        <f t="shared" si="7"/>
        <v/>
      </c>
      <c r="Y29" s="121" t="str">
        <f t="shared" si="8"/>
        <v/>
      </c>
      <c r="Z29" s="121" t="str">
        <f t="shared" si="9"/>
        <v>Gestión de recursos físicos</v>
      </c>
      <c r="AA29" s="121" t="str">
        <f t="shared" si="10"/>
        <v/>
      </c>
      <c r="AB29" s="122"/>
    </row>
    <row r="30" spans="2:28" s="123" customFormat="1" ht="38.25" x14ac:dyDescent="0.25">
      <c r="B30" s="108"/>
      <c r="C30" s="172" t="s">
        <v>169</v>
      </c>
      <c r="D30" s="110">
        <v>3</v>
      </c>
      <c r="E30" s="110">
        <v>2</v>
      </c>
      <c r="F30" s="110">
        <v>1</v>
      </c>
      <c r="G30" s="110">
        <v>0</v>
      </c>
      <c r="H30" s="111">
        <f t="shared" si="0"/>
        <v>6</v>
      </c>
      <c r="I30" s="112" t="str">
        <f t="shared" si="11"/>
        <v>Extremo</v>
      </c>
      <c r="J30" s="113">
        <f t="shared" si="12"/>
        <v>5</v>
      </c>
      <c r="K30" s="174" t="s">
        <v>40</v>
      </c>
      <c r="L30" s="115">
        <f>INDEX(Tiempo_Ult_Aud_Calif,MATCH('Priorización Procesos'!K30,Tiempo_Ult_Aud_Def,0))</f>
        <v>1</v>
      </c>
      <c r="M30" s="116" t="s">
        <v>47</v>
      </c>
      <c r="N30" s="117">
        <f t="shared" si="1"/>
        <v>1</v>
      </c>
      <c r="O30" s="116" t="s">
        <v>63</v>
      </c>
      <c r="P30" s="118">
        <f t="shared" si="2"/>
        <v>1</v>
      </c>
      <c r="Q30" s="119" t="s">
        <v>70</v>
      </c>
      <c r="R30" s="118">
        <f t="shared" si="3"/>
        <v>2</v>
      </c>
      <c r="S30" s="154" t="s">
        <v>78</v>
      </c>
      <c r="T30" s="118">
        <f t="shared" si="4"/>
        <v>3</v>
      </c>
      <c r="U30" s="120">
        <f t="shared" si="13"/>
        <v>2.35</v>
      </c>
      <c r="V30" s="120" t="str">
        <f t="shared" si="14"/>
        <v>Moderado</v>
      </c>
      <c r="W30" s="118" t="str">
        <f t="shared" si="6"/>
        <v>Cada 3 años</v>
      </c>
      <c r="X30" s="121" t="str">
        <f t="shared" si="7"/>
        <v/>
      </c>
      <c r="Y30" s="121" t="str">
        <f t="shared" si="8"/>
        <v/>
      </c>
      <c r="Z30" s="121" t="str">
        <f t="shared" si="9"/>
        <v>Adquisición de bienes y servicios</v>
      </c>
      <c r="AA30" s="121" t="str">
        <f t="shared" si="10"/>
        <v/>
      </c>
      <c r="AB30" s="122"/>
    </row>
    <row r="31" spans="2:28" s="130" customFormat="1" ht="39.950000000000003" customHeight="1" x14ac:dyDescent="0.25">
      <c r="B31" s="126"/>
      <c r="C31" s="172" t="s">
        <v>155</v>
      </c>
      <c r="D31" s="127">
        <v>3</v>
      </c>
      <c r="E31" s="127">
        <v>0</v>
      </c>
      <c r="F31" s="127">
        <v>4</v>
      </c>
      <c r="G31" s="127">
        <v>0</v>
      </c>
      <c r="H31" s="111">
        <f t="shared" si="0"/>
        <v>7</v>
      </c>
      <c r="I31" s="128" t="str">
        <f t="shared" si="11"/>
        <v>Extremo</v>
      </c>
      <c r="J31" s="113">
        <f t="shared" si="12"/>
        <v>5</v>
      </c>
      <c r="K31" s="174" t="s">
        <v>44</v>
      </c>
      <c r="L31" s="115">
        <f>INDEX(Tiempo_Ult_Aud_Calif,MATCH('Priorización Procesos'!K31,Tiempo_Ult_Aud_Def,0))</f>
        <v>5</v>
      </c>
      <c r="M31" s="116" t="s">
        <v>47</v>
      </c>
      <c r="N31" s="117">
        <f t="shared" ref="N31:N34" si="43">INDEX(Nivel_Directivo_Calif,MATCH(M31,Nivel_Directivo_Def,0))</f>
        <v>1</v>
      </c>
      <c r="O31" s="116" t="s">
        <v>63</v>
      </c>
      <c r="P31" s="118">
        <f t="shared" si="2"/>
        <v>1</v>
      </c>
      <c r="Q31" s="119" t="s">
        <v>70</v>
      </c>
      <c r="R31" s="118">
        <f t="shared" si="3"/>
        <v>2</v>
      </c>
      <c r="S31" s="116" t="s">
        <v>80</v>
      </c>
      <c r="T31" s="118">
        <f t="shared" si="4"/>
        <v>1</v>
      </c>
      <c r="U31" s="120">
        <f t="shared" si="13"/>
        <v>2.5500000000000003</v>
      </c>
      <c r="V31" s="120" t="str">
        <f t="shared" si="14"/>
        <v>Moderado</v>
      </c>
      <c r="W31" s="118" t="str">
        <f t="shared" si="6"/>
        <v>Cada 3 años</v>
      </c>
      <c r="X31" s="121" t="str">
        <f t="shared" ref="X31:X34" si="44">IF(W31="Cada año",C31,"")</f>
        <v/>
      </c>
      <c r="Y31" s="121" t="str">
        <f t="shared" ref="Y31:Y34" si="45">IF(OR(W31="Cada año",W31="Cada 2 años"),C31,"")</f>
        <v/>
      </c>
      <c r="Z31" s="121" t="str">
        <f t="shared" ref="Z31:Z34" si="46">IF(OR(W31="Cada año",W31="Cada 3 años"),C31,"")</f>
        <v>Gestión jurídica</v>
      </c>
      <c r="AA31" s="121" t="str">
        <f t="shared" ref="AA31:AA34" si="47">IF(OR(W31="Cada año",W31="Cada 2 años",W31="Cada 4 años"),C31,"")</f>
        <v/>
      </c>
      <c r="AB31" s="129"/>
    </row>
    <row r="32" spans="2:28" s="123" customFormat="1" ht="38.25" x14ac:dyDescent="0.25">
      <c r="B32" s="108"/>
      <c r="C32" s="172" t="s">
        <v>157</v>
      </c>
      <c r="D32" s="110">
        <v>0</v>
      </c>
      <c r="E32" s="110">
        <v>1</v>
      </c>
      <c r="F32" s="110">
        <v>1</v>
      </c>
      <c r="G32" s="110">
        <v>0</v>
      </c>
      <c r="H32" s="111">
        <f t="shared" ref="H32:H33" si="48">SUM(D32:G32)</f>
        <v>2</v>
      </c>
      <c r="I32" s="112" t="str">
        <f t="shared" ref="I32:I33" si="49">IF(D32&gt;=1,"Extremo",IF(E32&gt;=1,"Alto",IF(F32&gt;=1,"Moderado",IF(G32&gt;=1,"Bajo",IF(H32=0,"Bajo")))))</f>
        <v>Alto</v>
      </c>
      <c r="J32" s="113">
        <f t="shared" ref="J32:J33" si="50">IF(D32&gt;=1,5,IF(E32&gt;=1,4,IF(F32&gt;=1,3,IF(G32&gt;=1,2,IF(H32=0,1)))))</f>
        <v>4</v>
      </c>
      <c r="K32" s="174" t="s">
        <v>40</v>
      </c>
      <c r="L32" s="115">
        <f>INDEX(Tiempo_Ult_Aud_Calif,MATCH('Priorización Procesos'!K32,Tiempo_Ult_Aud_Def,0))</f>
        <v>1</v>
      </c>
      <c r="M32" s="116" t="s">
        <v>47</v>
      </c>
      <c r="N32" s="117">
        <f t="shared" si="43"/>
        <v>1</v>
      </c>
      <c r="O32" s="116" t="s">
        <v>63</v>
      </c>
      <c r="P32" s="118">
        <f t="shared" ref="P32:P33" si="51">INDEX(Impacto_Obj_Est_Calif,MATCH(O32,Impacto_Obj_Est_Def,0))</f>
        <v>1</v>
      </c>
      <c r="Q32" s="119" t="s">
        <v>73</v>
      </c>
      <c r="R32" s="118">
        <f t="shared" ref="R32:R33" si="52">INDEX(Result_Aud_Ant_Calif,MATCH(Q32,Result_Aud_Ant_Def,0))</f>
        <v>5</v>
      </c>
      <c r="S32" s="116" t="s">
        <v>80</v>
      </c>
      <c r="T32" s="118">
        <f t="shared" ref="T32:T33" si="53">INDEX(Impacto_Ppto_Calif,MATCH(S32,Impacto_Ppto_Def,0))</f>
        <v>1</v>
      </c>
      <c r="U32" s="120">
        <f t="shared" ref="U32:U33" si="54">$J$6*J32+$L$6*L32+$N$6*N32+$P$6*P32+$R$6*R32+$T$6*T32</f>
        <v>2.2000000000000002</v>
      </c>
      <c r="V32" s="120" t="str">
        <f t="shared" ref="V32:V33" si="55">LOOKUP(U32,Nivel_Criticidad)</f>
        <v>Moderado</v>
      </c>
      <c r="W32" s="118" t="str">
        <f t="shared" ref="W32:W33" si="56">INDEX(Ciclo_Rotación_Calif,MATCH(V32,Ciclo_Rotación_Def,0))</f>
        <v>Cada 3 años</v>
      </c>
      <c r="X32" s="121" t="str">
        <f t="shared" si="44"/>
        <v/>
      </c>
      <c r="Y32" s="121" t="str">
        <f t="shared" si="45"/>
        <v/>
      </c>
      <c r="Z32" s="121" t="str">
        <f t="shared" si="46"/>
        <v>Gestión documental</v>
      </c>
      <c r="AA32" s="121" t="str">
        <f t="shared" si="47"/>
        <v/>
      </c>
      <c r="AB32" s="122"/>
    </row>
    <row r="33" spans="2:28" s="130" customFormat="1" ht="39.950000000000003" customHeight="1" x14ac:dyDescent="0.25">
      <c r="B33" s="126"/>
      <c r="C33" s="172" t="s">
        <v>170</v>
      </c>
      <c r="D33" s="127">
        <v>0</v>
      </c>
      <c r="E33" s="127">
        <v>0</v>
      </c>
      <c r="F33" s="127">
        <f>1+1</f>
        <v>2</v>
      </c>
      <c r="G33" s="127">
        <v>0</v>
      </c>
      <c r="H33" s="111">
        <f t="shared" si="48"/>
        <v>2</v>
      </c>
      <c r="I33" s="128" t="str">
        <f t="shared" si="49"/>
        <v>Moderado</v>
      </c>
      <c r="J33" s="113">
        <f t="shared" si="50"/>
        <v>3</v>
      </c>
      <c r="K33" s="174" t="s">
        <v>42</v>
      </c>
      <c r="L33" s="115">
        <f>INDEX(Tiempo_Ult_Aud_Calif,MATCH('Priorización Procesos'!K33,Tiempo_Ult_Aud_Def,0))</f>
        <v>3</v>
      </c>
      <c r="M33" s="116" t="s">
        <v>50</v>
      </c>
      <c r="N33" s="131">
        <f t="shared" ref="N33" si="57">INDEX(Nivel_Directivo_Calif,MATCH(M33,Nivel_Directivo_Def,0))</f>
        <v>2</v>
      </c>
      <c r="O33" s="116" t="s">
        <v>63</v>
      </c>
      <c r="P33" s="118">
        <f t="shared" si="51"/>
        <v>1</v>
      </c>
      <c r="Q33" s="119" t="s">
        <v>69</v>
      </c>
      <c r="R33" s="125">
        <f t="shared" si="52"/>
        <v>1</v>
      </c>
      <c r="S33" s="116" t="s">
        <v>80</v>
      </c>
      <c r="T33" s="118">
        <f t="shared" si="53"/>
        <v>1</v>
      </c>
      <c r="U33" s="120">
        <f t="shared" si="54"/>
        <v>1.7999999999999998</v>
      </c>
      <c r="V33" s="120" t="str">
        <f t="shared" si="55"/>
        <v>Bajo (Priorizado)</v>
      </c>
      <c r="W33" s="118" t="str">
        <f t="shared" si="56"/>
        <v>Cada 4 años</v>
      </c>
      <c r="X33" s="121" t="str">
        <f t="shared" ref="X33" si="58">IF(W33="Cada año",C33,"")</f>
        <v/>
      </c>
      <c r="Y33" s="121" t="str">
        <f t="shared" ref="Y33" si="59">IF(OR(W33="Cada año",W33="Cada 2 años"),C33,"")</f>
        <v/>
      </c>
      <c r="Z33" s="121" t="str">
        <f t="shared" ref="Z33" si="60">IF(OR(W33="Cada año",W33="Cada 3 años"),C33,"")</f>
        <v/>
      </c>
      <c r="AA33" s="121" t="str">
        <f t="shared" ref="AA33" si="61">IF(OR(W33="Cada año",W33="Cada 2 años",W33="Cada 4 años"),C33,"")</f>
        <v>Sistemas de gestión - Planeación</v>
      </c>
      <c r="AB33" s="129"/>
    </row>
    <row r="34" spans="2:28" s="130" customFormat="1" ht="39" thickBot="1" x14ac:dyDescent="0.3">
      <c r="B34" s="126"/>
      <c r="C34" s="173" t="s">
        <v>171</v>
      </c>
      <c r="D34" s="132">
        <v>0</v>
      </c>
      <c r="E34" s="132">
        <v>0</v>
      </c>
      <c r="F34" s="132">
        <v>0</v>
      </c>
      <c r="G34" s="132">
        <v>0</v>
      </c>
      <c r="H34" s="111">
        <f t="shared" si="0"/>
        <v>0</v>
      </c>
      <c r="I34" s="133" t="str">
        <f t="shared" si="11"/>
        <v>Bajo</v>
      </c>
      <c r="J34" s="113">
        <f t="shared" si="12"/>
        <v>1</v>
      </c>
      <c r="K34" s="174" t="s">
        <v>42</v>
      </c>
      <c r="L34" s="115">
        <f>INDEX(Tiempo_Ult_Aud_Calif,MATCH('Priorización Procesos'!K34,Tiempo_Ult_Aud_Def,0))</f>
        <v>3</v>
      </c>
      <c r="M34" s="116" t="s">
        <v>47</v>
      </c>
      <c r="N34" s="117">
        <f t="shared" si="43"/>
        <v>1</v>
      </c>
      <c r="O34" s="116" t="s">
        <v>63</v>
      </c>
      <c r="P34" s="118">
        <f t="shared" si="2"/>
        <v>1</v>
      </c>
      <c r="Q34" s="119" t="s">
        <v>71</v>
      </c>
      <c r="R34" s="118">
        <f t="shared" si="3"/>
        <v>3</v>
      </c>
      <c r="S34" s="116" t="s">
        <v>80</v>
      </c>
      <c r="T34" s="118">
        <f t="shared" si="4"/>
        <v>1</v>
      </c>
      <c r="U34" s="120">
        <f t="shared" si="13"/>
        <v>1.5999999999999999</v>
      </c>
      <c r="V34" s="120" t="str">
        <f t="shared" si="14"/>
        <v>Bajo (Priorizado)</v>
      </c>
      <c r="W34" s="118" t="str">
        <f t="shared" si="6"/>
        <v>Cada 4 años</v>
      </c>
      <c r="X34" s="121" t="str">
        <f t="shared" si="44"/>
        <v/>
      </c>
      <c r="Y34" s="121" t="str">
        <f t="shared" si="45"/>
        <v/>
      </c>
      <c r="Z34" s="121" t="str">
        <f t="shared" si="46"/>
        <v/>
      </c>
      <c r="AA34" s="121" t="str">
        <f t="shared" si="47"/>
        <v>Evaluación, seguimiento y control</v>
      </c>
      <c r="AB34" s="129"/>
    </row>
    <row r="35" spans="2:28" s="138" customFormat="1" ht="13.5" thickBot="1" x14ac:dyDescent="0.25">
      <c r="B35" s="134"/>
      <c r="C35" s="135"/>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7"/>
    </row>
    <row r="36" spans="2:28" s="138" customFormat="1" x14ac:dyDescent="0.2">
      <c r="C36" s="139"/>
    </row>
    <row r="37" spans="2:28" s="138" customFormat="1" x14ac:dyDescent="0.2">
      <c r="B37" s="140" t="s">
        <v>172</v>
      </c>
      <c r="C37" s="139"/>
    </row>
    <row r="38" spans="2:28" s="138" customFormat="1" x14ac:dyDescent="0.2">
      <c r="C38" s="139"/>
    </row>
    <row r="39" spans="2:28" s="138" customFormat="1" x14ac:dyDescent="0.2">
      <c r="C39" s="139"/>
    </row>
    <row r="40" spans="2:28" s="138" customFormat="1" x14ac:dyDescent="0.2">
      <c r="C40" s="141"/>
      <c r="D40" s="142"/>
    </row>
    <row r="41" spans="2:28" s="138" customFormat="1" x14ac:dyDescent="0.2">
      <c r="C41" s="141" t="s">
        <v>173</v>
      </c>
      <c r="D41" s="142">
        <v>22</v>
      </c>
    </row>
    <row r="42" spans="2:28" s="138" customFormat="1" x14ac:dyDescent="0.2">
      <c r="C42" s="141" t="s">
        <v>174</v>
      </c>
      <c r="D42" s="142">
        <v>12</v>
      </c>
    </row>
    <row r="43" spans="2:28" s="138" customFormat="1" x14ac:dyDescent="0.2">
      <c r="C43" s="141" t="s">
        <v>175</v>
      </c>
      <c r="D43" s="142">
        <v>17</v>
      </c>
    </row>
    <row r="44" spans="2:28" s="138" customFormat="1" x14ac:dyDescent="0.2">
      <c r="C44" s="139"/>
      <c r="D44" s="143">
        <f>SUM(D41:D43)</f>
        <v>51</v>
      </c>
    </row>
    <row r="45" spans="2:28" s="138" customFormat="1" x14ac:dyDescent="0.2">
      <c r="C45" s="139"/>
    </row>
    <row r="46" spans="2:28" s="138" customFormat="1" x14ac:dyDescent="0.2">
      <c r="C46" s="139"/>
    </row>
    <row r="47" spans="2:28" s="138" customFormat="1" x14ac:dyDescent="0.2">
      <c r="C47" s="139"/>
    </row>
    <row r="48" spans="2:28" s="138" customFormat="1" x14ac:dyDescent="0.2">
      <c r="C48" s="139"/>
    </row>
    <row r="49" spans="3:3" s="138" customFormat="1" x14ac:dyDescent="0.2">
      <c r="C49" s="139"/>
    </row>
    <row r="50" spans="3:3" s="138" customFormat="1" x14ac:dyDescent="0.2"/>
    <row r="51" spans="3:3" s="138" customFormat="1" x14ac:dyDescent="0.2"/>
    <row r="52" spans="3:3" s="138" customFormat="1" x14ac:dyDescent="0.2"/>
    <row r="53" spans="3:3" s="138" customFormat="1" x14ac:dyDescent="0.2"/>
    <row r="54" spans="3:3" s="138" customFormat="1" x14ac:dyDescent="0.2"/>
    <row r="55" spans="3:3" s="138" customFormat="1" x14ac:dyDescent="0.2"/>
    <row r="56" spans="3:3" s="138" customFormat="1" x14ac:dyDescent="0.2"/>
    <row r="57" spans="3:3" s="138" customFormat="1" x14ac:dyDescent="0.2"/>
    <row r="58" spans="3:3" s="138" customFormat="1" x14ac:dyDescent="0.2"/>
    <row r="59" spans="3:3" s="138" customFormat="1" x14ac:dyDescent="0.2"/>
    <row r="60" spans="3:3" s="138" customFormat="1" x14ac:dyDescent="0.2"/>
    <row r="61" spans="3:3" s="138" customFormat="1" x14ac:dyDescent="0.2"/>
    <row r="62" spans="3:3" s="138" customFormat="1" x14ac:dyDescent="0.2"/>
    <row r="63" spans="3:3" s="138" customFormat="1" x14ac:dyDescent="0.2"/>
    <row r="64" spans="3:3" s="138" customFormat="1" x14ac:dyDescent="0.2"/>
    <row r="65" spans="3:3" s="138" customFormat="1" x14ac:dyDescent="0.2">
      <c r="C65" s="139"/>
    </row>
    <row r="66" spans="3:3" s="138" customFormat="1" x14ac:dyDescent="0.2">
      <c r="C66" s="139"/>
    </row>
    <row r="67" spans="3:3" s="138" customFormat="1" x14ac:dyDescent="0.2">
      <c r="C67" s="139"/>
    </row>
    <row r="68" spans="3:3" s="138" customFormat="1" x14ac:dyDescent="0.2">
      <c r="C68" s="139"/>
    </row>
    <row r="69" spans="3:3" s="138" customFormat="1" x14ac:dyDescent="0.2">
      <c r="C69" s="139"/>
    </row>
    <row r="70" spans="3:3" s="138" customFormat="1" x14ac:dyDescent="0.2">
      <c r="C70" s="139"/>
    </row>
    <row r="71" spans="3:3" s="138" customFormat="1" x14ac:dyDescent="0.2">
      <c r="C71" s="139"/>
    </row>
    <row r="72" spans="3:3" s="138" customFormat="1" x14ac:dyDescent="0.2">
      <c r="C72" s="139"/>
    </row>
    <row r="73" spans="3:3" s="138" customFormat="1" x14ac:dyDescent="0.2">
      <c r="C73" s="139"/>
    </row>
    <row r="74" spans="3:3" s="138" customFormat="1" x14ac:dyDescent="0.2">
      <c r="C74" s="139"/>
    </row>
    <row r="75" spans="3:3" s="138" customFormat="1" x14ac:dyDescent="0.2">
      <c r="C75" s="139"/>
    </row>
    <row r="76" spans="3:3" s="138" customFormat="1" x14ac:dyDescent="0.2">
      <c r="C76" s="139"/>
    </row>
    <row r="77" spans="3:3" s="138" customFormat="1" x14ac:dyDescent="0.2">
      <c r="C77" s="139"/>
    </row>
    <row r="78" spans="3:3" s="138" customFormat="1" x14ac:dyDescent="0.2">
      <c r="C78" s="139"/>
    </row>
    <row r="79" spans="3:3" s="138" customFormat="1" x14ac:dyDescent="0.2">
      <c r="C79" s="139"/>
    </row>
    <row r="80" spans="3:3" s="138" customFormat="1" x14ac:dyDescent="0.2">
      <c r="C80" s="139"/>
    </row>
    <row r="81" spans="3:3" s="138" customFormat="1" x14ac:dyDescent="0.2">
      <c r="C81" s="139"/>
    </row>
    <row r="82" spans="3:3" s="138" customFormat="1" x14ac:dyDescent="0.2">
      <c r="C82" s="139"/>
    </row>
    <row r="83" spans="3:3" s="138" customFormat="1" x14ac:dyDescent="0.2">
      <c r="C83" s="139"/>
    </row>
    <row r="84" spans="3:3" s="138" customFormat="1" x14ac:dyDescent="0.2">
      <c r="C84" s="139"/>
    </row>
    <row r="85" spans="3:3" s="138" customFormat="1" x14ac:dyDescent="0.2">
      <c r="C85" s="139"/>
    </row>
    <row r="86" spans="3:3" s="138" customFormat="1" x14ac:dyDescent="0.2">
      <c r="C86" s="139"/>
    </row>
    <row r="87" spans="3:3" s="138" customFormat="1" x14ac:dyDescent="0.2">
      <c r="C87" s="139"/>
    </row>
    <row r="88" spans="3:3" s="138" customFormat="1" x14ac:dyDescent="0.2">
      <c r="C88" s="139"/>
    </row>
    <row r="89" spans="3:3" s="138" customFormat="1" x14ac:dyDescent="0.2">
      <c r="C89" s="139"/>
    </row>
    <row r="90" spans="3:3" s="138" customFormat="1" x14ac:dyDescent="0.2">
      <c r="C90" s="139"/>
    </row>
    <row r="91" spans="3:3" s="138" customFormat="1" x14ac:dyDescent="0.2">
      <c r="C91" s="139"/>
    </row>
    <row r="92" spans="3:3" s="138" customFormat="1" x14ac:dyDescent="0.2">
      <c r="C92" s="139"/>
    </row>
    <row r="93" spans="3:3" s="138" customFormat="1" x14ac:dyDescent="0.2">
      <c r="C93" s="139"/>
    </row>
    <row r="94" spans="3:3" s="138" customFormat="1" x14ac:dyDescent="0.2">
      <c r="C94" s="139"/>
    </row>
    <row r="95" spans="3:3" s="138" customFormat="1" x14ac:dyDescent="0.2">
      <c r="C95" s="139"/>
    </row>
    <row r="96" spans="3:3" s="138" customFormat="1" x14ac:dyDescent="0.2">
      <c r="C96" s="139"/>
    </row>
    <row r="97" spans="3:3" s="138" customFormat="1" x14ac:dyDescent="0.2">
      <c r="C97" s="139"/>
    </row>
    <row r="98" spans="3:3" s="138" customFormat="1" x14ac:dyDescent="0.2">
      <c r="C98" s="139"/>
    </row>
    <row r="99" spans="3:3" s="138" customFormat="1" x14ac:dyDescent="0.2">
      <c r="C99" s="139"/>
    </row>
    <row r="100" spans="3:3" s="138" customFormat="1" x14ac:dyDescent="0.2">
      <c r="C100" s="139"/>
    </row>
    <row r="101" spans="3:3" s="138" customFormat="1" x14ac:dyDescent="0.2">
      <c r="C101" s="139"/>
    </row>
    <row r="102" spans="3:3" s="138" customFormat="1" x14ac:dyDescent="0.2">
      <c r="C102" s="139"/>
    </row>
    <row r="103" spans="3:3" s="138" customFormat="1" x14ac:dyDescent="0.2">
      <c r="C103" s="139"/>
    </row>
    <row r="104" spans="3:3" s="138" customFormat="1" x14ac:dyDescent="0.2">
      <c r="C104" s="139"/>
    </row>
    <row r="105" spans="3:3" s="138" customFormat="1" x14ac:dyDescent="0.2">
      <c r="C105" s="139"/>
    </row>
    <row r="106" spans="3:3" s="138" customFormat="1" x14ac:dyDescent="0.2">
      <c r="C106" s="139"/>
    </row>
    <row r="107" spans="3:3" s="138" customFormat="1" x14ac:dyDescent="0.2">
      <c r="C107" s="139"/>
    </row>
    <row r="108" spans="3:3" s="138" customFormat="1" x14ac:dyDescent="0.2">
      <c r="C108" s="139"/>
    </row>
    <row r="109" spans="3:3" s="138" customFormat="1" x14ac:dyDescent="0.2">
      <c r="C109" s="139"/>
    </row>
    <row r="110" spans="3:3" s="138" customFormat="1" x14ac:dyDescent="0.2">
      <c r="C110" s="139"/>
    </row>
    <row r="111" spans="3:3" s="138" customFormat="1" x14ac:dyDescent="0.2">
      <c r="C111" s="139"/>
    </row>
    <row r="112" spans="3:3" s="138" customFormat="1" x14ac:dyDescent="0.2">
      <c r="C112" s="139"/>
    </row>
    <row r="113" spans="3:3" s="138" customFormat="1" x14ac:dyDescent="0.2">
      <c r="C113" s="139"/>
    </row>
    <row r="114" spans="3:3" s="138" customFormat="1" x14ac:dyDescent="0.2">
      <c r="C114" s="139"/>
    </row>
    <row r="115" spans="3:3" s="138" customFormat="1" x14ac:dyDescent="0.2">
      <c r="C115" s="139"/>
    </row>
    <row r="116" spans="3:3" s="138" customFormat="1" x14ac:dyDescent="0.2">
      <c r="C116" s="139"/>
    </row>
    <row r="117" spans="3:3" s="138" customFormat="1" x14ac:dyDescent="0.2">
      <c r="C117" s="139"/>
    </row>
    <row r="118" spans="3:3" s="138" customFormat="1" x14ac:dyDescent="0.2">
      <c r="C118" s="139"/>
    </row>
    <row r="119" spans="3:3" s="138" customFormat="1" x14ac:dyDescent="0.2">
      <c r="C119" s="139"/>
    </row>
    <row r="120" spans="3:3" s="138" customFormat="1" x14ac:dyDescent="0.2">
      <c r="C120" s="139"/>
    </row>
    <row r="121" spans="3:3" s="138" customFormat="1" x14ac:dyDescent="0.2">
      <c r="C121" s="139"/>
    </row>
    <row r="122" spans="3:3" s="138" customFormat="1" x14ac:dyDescent="0.2">
      <c r="C122" s="139"/>
    </row>
    <row r="123" spans="3:3" s="138" customFormat="1" x14ac:dyDescent="0.2">
      <c r="C123" s="139"/>
    </row>
    <row r="124" spans="3:3" s="138" customFormat="1" x14ac:dyDescent="0.2">
      <c r="C124" s="139"/>
    </row>
    <row r="125" spans="3:3" s="138" customFormat="1" x14ac:dyDescent="0.2">
      <c r="C125" s="139"/>
    </row>
    <row r="126" spans="3:3" s="138" customFormat="1" x14ac:dyDescent="0.2">
      <c r="C126" s="139"/>
    </row>
    <row r="127" spans="3:3" s="138" customFormat="1" x14ac:dyDescent="0.2">
      <c r="C127" s="139"/>
    </row>
    <row r="128" spans="3:3" s="138" customFormat="1" x14ac:dyDescent="0.2">
      <c r="C128" s="139"/>
    </row>
    <row r="129" spans="3:3" s="138" customFormat="1" x14ac:dyDescent="0.2">
      <c r="C129" s="139"/>
    </row>
    <row r="130" spans="3:3" s="138" customFormat="1" x14ac:dyDescent="0.2">
      <c r="C130" s="139"/>
    </row>
    <row r="131" spans="3:3" s="138" customFormat="1" x14ac:dyDescent="0.2">
      <c r="C131" s="139"/>
    </row>
    <row r="132" spans="3:3" s="138" customFormat="1" x14ac:dyDescent="0.2">
      <c r="C132" s="139"/>
    </row>
    <row r="133" spans="3:3" s="138" customFormat="1" x14ac:dyDescent="0.2">
      <c r="C133" s="139"/>
    </row>
    <row r="134" spans="3:3" s="138" customFormat="1" x14ac:dyDescent="0.2">
      <c r="C134" s="139"/>
    </row>
    <row r="135" spans="3:3" s="138" customFormat="1" x14ac:dyDescent="0.2">
      <c r="C135" s="139"/>
    </row>
    <row r="136" spans="3:3" s="138" customFormat="1" x14ac:dyDescent="0.2">
      <c r="C136" s="139"/>
    </row>
    <row r="137" spans="3:3" s="138" customFormat="1" x14ac:dyDescent="0.2">
      <c r="C137" s="139"/>
    </row>
    <row r="138" spans="3:3" s="138" customFormat="1" x14ac:dyDescent="0.2">
      <c r="C138" s="139"/>
    </row>
    <row r="139" spans="3:3" s="138" customFormat="1" x14ac:dyDescent="0.2">
      <c r="C139" s="139"/>
    </row>
    <row r="140" spans="3:3" s="138" customFormat="1" x14ac:dyDescent="0.2">
      <c r="C140" s="139"/>
    </row>
    <row r="141" spans="3:3" s="138" customFormat="1" x14ac:dyDescent="0.2">
      <c r="C141" s="139"/>
    </row>
    <row r="142" spans="3:3" s="138" customFormat="1" x14ac:dyDescent="0.2">
      <c r="C142" s="139"/>
    </row>
    <row r="143" spans="3:3" s="138" customFormat="1" x14ac:dyDescent="0.2">
      <c r="C143" s="139"/>
    </row>
    <row r="144" spans="3:3" s="138" customFormat="1" x14ac:dyDescent="0.2">
      <c r="C144" s="139"/>
    </row>
    <row r="145" spans="3:3" s="138" customFormat="1" x14ac:dyDescent="0.2">
      <c r="C145" s="139"/>
    </row>
    <row r="146" spans="3:3" s="138" customFormat="1" x14ac:dyDescent="0.2">
      <c r="C146" s="139"/>
    </row>
    <row r="147" spans="3:3" s="138" customFormat="1" x14ac:dyDescent="0.2">
      <c r="C147" s="139"/>
    </row>
    <row r="148" spans="3:3" s="138" customFormat="1" x14ac:dyDescent="0.2">
      <c r="C148" s="139"/>
    </row>
    <row r="149" spans="3:3" s="138" customFormat="1" x14ac:dyDescent="0.2">
      <c r="C149" s="139"/>
    </row>
    <row r="150" spans="3:3" s="138" customFormat="1" x14ac:dyDescent="0.2">
      <c r="C150" s="139"/>
    </row>
    <row r="151" spans="3:3" s="138" customFormat="1" x14ac:dyDescent="0.2">
      <c r="C151" s="139"/>
    </row>
    <row r="152" spans="3:3" s="138" customFormat="1" x14ac:dyDescent="0.2">
      <c r="C152" s="139"/>
    </row>
    <row r="153" spans="3:3" s="138" customFormat="1" x14ac:dyDescent="0.2">
      <c r="C153" s="139"/>
    </row>
    <row r="154" spans="3:3" s="138" customFormat="1" x14ac:dyDescent="0.2">
      <c r="C154" s="139"/>
    </row>
    <row r="155" spans="3:3" s="138" customFormat="1" x14ac:dyDescent="0.2">
      <c r="C155" s="139"/>
    </row>
    <row r="156" spans="3:3" s="138" customFormat="1" x14ac:dyDescent="0.2">
      <c r="C156" s="139"/>
    </row>
    <row r="157" spans="3:3" s="138" customFormat="1" x14ac:dyDescent="0.2">
      <c r="C157" s="139"/>
    </row>
    <row r="158" spans="3:3" s="138" customFormat="1" x14ac:dyDescent="0.2">
      <c r="C158" s="139"/>
    </row>
    <row r="159" spans="3:3" s="138" customFormat="1" x14ac:dyDescent="0.2">
      <c r="C159" s="139"/>
    </row>
    <row r="160" spans="3:3" s="138" customFormat="1" x14ac:dyDescent="0.2">
      <c r="C160" s="139"/>
    </row>
    <row r="161" spans="3:16" s="138" customFormat="1" x14ac:dyDescent="0.2">
      <c r="C161" s="139"/>
    </row>
    <row r="162" spans="3:16" s="138" customFormat="1" x14ac:dyDescent="0.2">
      <c r="C162" s="139"/>
    </row>
    <row r="163" spans="3:16" s="138" customFormat="1" x14ac:dyDescent="0.2">
      <c r="C163" s="139"/>
    </row>
    <row r="164" spans="3:16" s="138" customFormat="1" x14ac:dyDescent="0.2">
      <c r="C164" s="139"/>
    </row>
    <row r="165" spans="3:16" s="138" customFormat="1" x14ac:dyDescent="0.2">
      <c r="C165" s="139"/>
    </row>
    <row r="166" spans="3:16" s="138" customFormat="1" x14ac:dyDescent="0.2">
      <c r="C166" s="139"/>
    </row>
    <row r="167" spans="3:16" s="138" customFormat="1" x14ac:dyDescent="0.2">
      <c r="C167" s="139"/>
    </row>
    <row r="168" spans="3:16" s="138" customFormat="1" x14ac:dyDescent="0.2">
      <c r="C168" s="139"/>
    </row>
    <row r="169" spans="3:16" s="138" customFormat="1" x14ac:dyDescent="0.2">
      <c r="C169" s="139"/>
    </row>
    <row r="170" spans="3:16" s="138" customFormat="1" x14ac:dyDescent="0.2">
      <c r="C170" s="139"/>
    </row>
    <row r="171" spans="3:16" s="138" customFormat="1" x14ac:dyDescent="0.2">
      <c r="C171" s="139"/>
    </row>
    <row r="172" spans="3:16" s="138" customFormat="1" x14ac:dyDescent="0.2">
      <c r="C172" s="139"/>
    </row>
    <row r="173" spans="3:16" s="138" customFormat="1" x14ac:dyDescent="0.2">
      <c r="C173" s="139"/>
    </row>
    <row r="174" spans="3:16" s="138" customFormat="1" x14ac:dyDescent="0.2">
      <c r="C174" s="139"/>
    </row>
    <row r="175" spans="3:16" x14ac:dyDescent="0.2">
      <c r="O175" s="138"/>
      <c r="P175" s="138"/>
    </row>
    <row r="176" spans="3:16" x14ac:dyDescent="0.2">
      <c r="O176" s="138"/>
      <c r="P176" s="138"/>
    </row>
    <row r="177" spans="15:16" x14ac:dyDescent="0.2">
      <c r="O177" s="138"/>
      <c r="P177" s="138"/>
    </row>
    <row r="178" spans="15:16" x14ac:dyDescent="0.2">
      <c r="O178" s="138"/>
      <c r="P178" s="138"/>
    </row>
    <row r="179" spans="15:16" x14ac:dyDescent="0.2">
      <c r="O179" s="138"/>
      <c r="P179" s="138"/>
    </row>
    <row r="180" spans="15:16" x14ac:dyDescent="0.2">
      <c r="O180" s="138"/>
      <c r="P180" s="138"/>
    </row>
    <row r="181" spans="15:16" x14ac:dyDescent="0.2">
      <c r="O181" s="138"/>
      <c r="P181" s="138"/>
    </row>
    <row r="182" spans="15:16" x14ac:dyDescent="0.2">
      <c r="O182" s="138"/>
      <c r="P182" s="138"/>
    </row>
    <row r="183" spans="15:16" x14ac:dyDescent="0.2">
      <c r="O183" s="138"/>
      <c r="P183" s="138"/>
    </row>
    <row r="184" spans="15:16" x14ac:dyDescent="0.2">
      <c r="O184" s="138"/>
      <c r="P184" s="138"/>
    </row>
    <row r="185" spans="15:16" x14ac:dyDescent="0.2">
      <c r="O185" s="138"/>
      <c r="P185" s="138"/>
    </row>
    <row r="186" spans="15:16" x14ac:dyDescent="0.2">
      <c r="O186" s="138"/>
      <c r="P186" s="138"/>
    </row>
    <row r="187" spans="15:16" x14ac:dyDescent="0.2">
      <c r="O187" s="138"/>
      <c r="P187" s="138"/>
    </row>
    <row r="188" spans="15:16" x14ac:dyDescent="0.2">
      <c r="O188" s="138"/>
      <c r="P188" s="138"/>
    </row>
    <row r="189" spans="15:16" x14ac:dyDescent="0.2">
      <c r="O189" s="138"/>
      <c r="P189" s="138"/>
    </row>
    <row r="190" spans="15:16" x14ac:dyDescent="0.2">
      <c r="O190" s="138"/>
      <c r="P190" s="138"/>
    </row>
    <row r="191" spans="15:16" x14ac:dyDescent="0.2">
      <c r="O191" s="138"/>
      <c r="P191" s="138"/>
    </row>
    <row r="192" spans="15:16" x14ac:dyDescent="0.2">
      <c r="O192" s="138"/>
      <c r="P192" s="138"/>
    </row>
    <row r="193" spans="15:16" x14ac:dyDescent="0.2">
      <c r="O193" s="138"/>
      <c r="P193" s="138"/>
    </row>
    <row r="194" spans="15:16" x14ac:dyDescent="0.2">
      <c r="O194" s="138"/>
      <c r="P194" s="138"/>
    </row>
    <row r="195" spans="15:16" x14ac:dyDescent="0.2">
      <c r="O195" s="138"/>
      <c r="P195" s="138"/>
    </row>
    <row r="196" spans="15:16" x14ac:dyDescent="0.2">
      <c r="O196" s="138"/>
      <c r="P196" s="138"/>
    </row>
    <row r="197" spans="15:16" x14ac:dyDescent="0.2">
      <c r="O197" s="138"/>
      <c r="P197" s="138"/>
    </row>
    <row r="198" spans="15:16" x14ac:dyDescent="0.2">
      <c r="O198" s="138"/>
      <c r="P198" s="138"/>
    </row>
    <row r="199" spans="15:16" x14ac:dyDescent="0.2">
      <c r="O199" s="138"/>
      <c r="P199" s="138"/>
    </row>
    <row r="200" spans="15:16" x14ac:dyDescent="0.2">
      <c r="O200" s="138"/>
      <c r="P200" s="138"/>
    </row>
    <row r="201" spans="15:16" x14ac:dyDescent="0.2">
      <c r="O201" s="138"/>
      <c r="P201" s="138"/>
    </row>
    <row r="202" spans="15:16" x14ac:dyDescent="0.2">
      <c r="O202" s="138"/>
      <c r="P202" s="138"/>
    </row>
    <row r="203" spans="15:16" x14ac:dyDescent="0.2">
      <c r="O203" s="138"/>
      <c r="P203" s="138"/>
    </row>
    <row r="204" spans="15:16" x14ac:dyDescent="0.2">
      <c r="O204" s="138"/>
      <c r="P204" s="138"/>
    </row>
    <row r="205" spans="15:16" x14ac:dyDescent="0.2">
      <c r="O205" s="138"/>
      <c r="P205" s="138"/>
    </row>
    <row r="206" spans="15:16" x14ac:dyDescent="0.2">
      <c r="O206" s="138"/>
      <c r="P206" s="138"/>
    </row>
    <row r="207" spans="15:16" x14ac:dyDescent="0.2">
      <c r="O207" s="138"/>
      <c r="P207" s="138"/>
    </row>
    <row r="208" spans="15:16" x14ac:dyDescent="0.2">
      <c r="O208" s="138"/>
      <c r="P208" s="138"/>
    </row>
    <row r="209" spans="15:16" x14ac:dyDescent="0.2">
      <c r="O209" s="138"/>
      <c r="P209" s="138"/>
    </row>
    <row r="210" spans="15:16" x14ac:dyDescent="0.2">
      <c r="O210" s="138"/>
      <c r="P210" s="138"/>
    </row>
    <row r="211" spans="15:16" x14ac:dyDescent="0.2">
      <c r="O211" s="138"/>
      <c r="P211" s="138"/>
    </row>
    <row r="212" spans="15:16" x14ac:dyDescent="0.2">
      <c r="O212" s="138"/>
      <c r="P212" s="138"/>
    </row>
    <row r="213" spans="15:16" x14ac:dyDescent="0.2">
      <c r="O213" s="138"/>
      <c r="P213" s="138"/>
    </row>
    <row r="214" spans="15:16" x14ac:dyDescent="0.2">
      <c r="O214" s="138"/>
      <c r="P214" s="138"/>
    </row>
    <row r="215" spans="15:16" x14ac:dyDescent="0.2">
      <c r="O215" s="138"/>
      <c r="P215" s="138"/>
    </row>
    <row r="216" spans="15:16" x14ac:dyDescent="0.2">
      <c r="O216" s="138"/>
      <c r="P216" s="138"/>
    </row>
    <row r="217" spans="15:16" x14ac:dyDescent="0.2">
      <c r="O217" s="138"/>
      <c r="P217" s="138"/>
    </row>
  </sheetData>
  <protectedRanges>
    <protectedRange algorithmName="SHA-512" hashValue="DEhtgLWWX1fGTfY6/jrV83UQn2eRyEcf52ixXqwJG1h9snypFLTtsrlTn4v+3Jfc8qsPtJTcbYO5FAd7DzT8Lw==" saltValue="QsONzCYV9PF/Cm9GQzUNrg==" spinCount="100000" sqref="H5:I5 W5 Z5 J6 L6 N6 R6 T6 B2:C5 S8:S34 Q8:Q34 K8:K34 M8:M34 C8:G34" name="Rango1"/>
    <protectedRange algorithmName="SHA-512" hashValue="DEhtgLWWX1fGTfY6/jrV83UQn2eRyEcf52ixXqwJG1h9snypFLTtsrlTn4v+3Jfc8qsPtJTcbYO5FAd7DzT8Lw==" saltValue="QsONzCYV9PF/Cm9GQzUNrg==" spinCount="100000" sqref="P6 O8:O34" name="Rango1_1"/>
  </protectedRanges>
  <mergeCells count="12">
    <mergeCell ref="D5:G5"/>
    <mergeCell ref="D6:H6"/>
    <mergeCell ref="H5:I5"/>
    <mergeCell ref="B2:C4"/>
    <mergeCell ref="D2:AB2"/>
    <mergeCell ref="D4:E4"/>
    <mergeCell ref="F4:J4"/>
    <mergeCell ref="K4:O4"/>
    <mergeCell ref="P4:U4"/>
    <mergeCell ref="Y4:AB4"/>
    <mergeCell ref="V4:X4"/>
    <mergeCell ref="D3:AB3"/>
  </mergeCells>
  <phoneticPr fontId="14" type="noConversion"/>
  <conditionalFormatting sqref="I8:L34">
    <cfRule type="containsText" dxfId="51" priority="11" operator="containsText" text="Extremo">
      <formula>NOT(ISERROR(SEARCH("Extremo",I8)))</formula>
    </cfRule>
    <cfRule type="containsText" dxfId="50" priority="12" operator="containsText" text="Muy Bajo">
      <formula>NOT(ISERROR(SEARCH("Muy Bajo",I8)))</formula>
    </cfRule>
    <cfRule type="containsText" dxfId="49" priority="13" operator="containsText" text="Bajo">
      <formula>NOT(ISERROR(SEARCH("Bajo",I8)))</formula>
    </cfRule>
    <cfRule type="containsText" dxfId="48" priority="14" operator="containsText" text="Moderado">
      <formula>NOT(ISERROR(SEARCH("Moderado",I8)))</formula>
    </cfRule>
    <cfRule type="containsText" dxfId="47" priority="15" operator="containsText" text="Alto">
      <formula>NOT(ISERROR(SEARCH("Alto",I8)))</formula>
    </cfRule>
    <cfRule type="containsText" dxfId="46" priority="16" operator="containsText" text="Muy Alto">
      <formula>NOT(ISERROR(SEARCH("Muy Alto",I8)))</formula>
    </cfRule>
  </conditionalFormatting>
  <conditionalFormatting sqref="U8:V34">
    <cfRule type="expression" dxfId="45" priority="1">
      <formula>$U8&gt;=4</formula>
    </cfRule>
    <cfRule type="expression" dxfId="44" priority="2">
      <formula>$U8&gt;=3</formula>
    </cfRule>
    <cfRule type="expression" dxfId="43" priority="3">
      <formula>$U8&gt;=2</formula>
    </cfRule>
    <cfRule type="expression" dxfId="42" priority="4">
      <formula>$U8&lt;2</formula>
    </cfRule>
  </conditionalFormatting>
  <dataValidations xWindow="745" yWindow="518" count="30">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7" xr:uid="{8CDCC95D-3192-4D6F-8154-21B24B6A5D50}"/>
    <dataValidation allowBlank="1" showInputMessage="1" showErrorMessage="1" promptTitle="CODIGO" prompt="En caso que utilicen control documental o referenciación en los papeles de trabajo, en este espacio podrá colocar el código (alfabético, numérico o alfanumèrico) correspondiente." sqref="D5:G5" xr:uid="{062D56AA-8C91-49E6-AD43-BB71AAA8D832}"/>
    <dataValidation allowBlank="1" showInputMessage="1" showErrorMessage="1" promptTitle="Riesgo inherente" prompt="Digite la cantidad de riesgos por nivel que tiene cada aspecto evaluable." sqref="D6:H6" xr:uid="{DEEBE8F3-6345-486F-B772-03FB84E71EE4}"/>
    <dataValidation allowBlank="1" showInputMessage="1" showErrorMessage="1" promptTitle="RIESGO INHERENTE" prompt="FAVOR NO DILIGENCIAR NADA ACÁ. Esta columna se diligenciará automáticamente conforme a la hoja &quot;Parámetros&quot;. Acá aparecerá automáticamente el nivel de riesgo ponderado o consolidado para cada aspecto evaluable (unidad auditable)." sqref="I7" xr:uid="{337AA746-4054-46D7-9E6E-DC2E9BFB9639}"/>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vel de riesgo inherente consolidado o ponderado." sqref="J7" xr:uid="{C34971DF-A4E0-4FCA-9631-BB2BA0967314}"/>
    <dataValidation allowBlank="1" showInputMessage="1" showErrorMessage="1" promptTitle="TOTAL PUNTAJE RIESGOS" prompt="FAVOR NO DILIGENCIAR NADA EN ESTA COLUMNA. Aparecerá automáticamente el puntaje consolidado del total de riesgos que afectan cada aspecto evaluable." sqref="H7" xr:uid="{79361A8E-368C-4793-A101-AFC3317BDA59}"/>
    <dataValidation allowBlank="1" showInputMessage="1" showErrorMessage="1" promptTitle="FECHA APROBACION" prompt="Registre la fecha de aprobación del Universo de Auditoría Basado en Riesgos, por parte del Comité de Control Interno o Comité de Auditoría." sqref="U5" xr:uid="{EBEE249B-60F4-4D7D-B3B6-C5E29480585E}"/>
    <dataValidation type="decimal" allowBlank="1" showInputMessage="1" showErrorMessage="1" promptTitle="PORCENTAJE VARIABLE" prompt="Puede cambiar este porcentaje, siempre y cuando la suma de los porcentajes de las 6 variables sumen 100%, y de acuerdo con la dinámica y complejidad de la entidad." sqref="J6 L6 R6 T6 N6 P6" xr:uid="{0FB141F1-FA13-4258-BC22-0A11917BCCE5}">
      <formula1>0</formula1>
      <formula2>1</formula2>
    </dataValidation>
    <dataValidation allowBlank="1" showInputMessage="1" showErrorMessage="1" promptTitle="TIEMPO EN AÑOS" prompt="Seleccione de la lista desplegable los años transcurridos desde la última auditoría o en caso que nunca se haya auditado seleccione &gt;4años." sqref="K7" xr:uid="{D90ED12D-4D68-4912-AE86-0310E9F9D313}"/>
    <dataValidation allowBlank="1" showInputMessage="1" showErrorMessage="1" promptTitle="CALIFICACION TIEMPO ULTIMA AUDIT" prompt="FAVOR NO DILIGENCIAR ESTA COLUMNA. Esta calificación aparecerá automáticamente con base en la hoja &quot;parámetros&quot; establecidos." sqref="L7" xr:uid="{970E524A-49C2-4C1A-B7F0-BA1B55BB3A87}"/>
    <dataValidation allowBlank="1" showInputMessage="1" showErrorMessage="1" promptTitle="TEMAS INTERES DIRECTIVOS" prompt="Seleccione la cantidad de veces que a este tema le hacen seguimiento en Comités Directivos o de Control Interno. Si la temática es solicitada por la alta dirección, se añade directamente en el plan anual de auditoria, no se prioriza." sqref="M7" xr:uid="{BECF5DE4-37A5-4171-9EA3-307D46E9D780}"/>
    <dataValidation allowBlank="1" showInputMessage="1" showErrorMessage="1" promptTitle="CALIFICACION INTERESES ALTA DIRE" prompt="FAVOR NO DILIGENCIAR ESTA COLUMNA. Esta calificación se generará automáticamente, respecto de los intereses de la alta dirección." sqref="N7" xr:uid="{270C473E-1520-4FE5-81DE-3B0E854AC404}"/>
    <dataValidation allowBlank="1" showInputMessage="1" showErrorMessage="1" promptTitle="RESULTADOS AUDITORIAS ANTERIORES" prompt="Seleccionar la cantidad de hallazgos abiertos que posee temática producto de auditorias internas y externas." sqref="Q7" xr:uid="{BBCEA3F4-8B97-4AFB-9DD1-815B0D615F37}"/>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R7" xr:uid="{9DC90EF9-EBEA-458E-A8E8-386B7E9AC0DE}"/>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T7" xr:uid="{EB420E60-9675-434E-8BA8-4358949C66F2}"/>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S7" xr:uid="{BFFC32E5-12C3-4327-AFB9-5CB3D2F9B1E3}"/>
    <dataValidation allowBlank="1" showInputMessage="1" showErrorMessage="1" promptTitle="PONDERACION" prompt="FAVOR NO DILIGENCIAR ESTA COLUMNA._x000a_Acá aparecerá automáticamente el puntaje consolidado para el nivel de criticidad de cada aspecto evaluable." sqref="U7" xr:uid="{6E261994-55CA-4C9B-9AAA-CB609EAB1902}"/>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V7" xr:uid="{FC9561A8-436E-44BF-9901-9413DF4771B1}"/>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W7" xr:uid="{D7E70CBE-ECAC-4406-B537-2852B90B383E}"/>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AA7" xr:uid="{AA647126-0008-400E-90E9-7AA31DC83C8B}"/>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X7" xr:uid="{69F107B3-F250-4EE6-9144-313622CB3A14}"/>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Y7" xr:uid="{3BA9A91A-8C33-48E2-8454-D28FA5757581}"/>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Z7" xr:uid="{8E33697B-8B9E-4079-BF7E-C974E84EA525}"/>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M8:M34" xr:uid="{BD63E574-BE5D-4A87-9251-6056042A6A1F}">
      <formula1>Nivel_Directivo_Def</formula1>
    </dataValidation>
    <dataValidation type="list" allowBlank="1" showInputMessage="1" showErrorMessage="1" sqref="Q8:Q34" xr:uid="{6B7A7888-F23F-44CA-9877-00DB097C1222}">
      <formula1>Result_Aud_Ant_Def</formula1>
    </dataValidation>
    <dataValidation type="list" allowBlank="1" showInputMessage="1" showErrorMessage="1" sqref="S8:S34" xr:uid="{5775C87D-6772-40ED-9B3E-4429F39BB7C2}">
      <formula1>Impacto_Ppto_Def</formula1>
    </dataValidation>
    <dataValidation type="list" allowBlank="1" showInputMessage="1" showErrorMessage="1" sqref="K8:K34" xr:uid="{93DE5A92-CE4E-478B-9742-3CB20D8FCED2}">
      <formula1>Tiempo_Ult_Aud_Def</formula1>
    </dataValidation>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P7" xr:uid="{FD28F025-8DD0-0147-BB93-8FA00C57FF33}"/>
    <dataValidation allowBlank="1" showInputMessage="1" showErrorMessage="1" promptTitle="IMPACTO OBJETIVOS ESTRATEGICOS" prompt="Seleccionar la opción que corresponda a la insidencia de este aspecto evaluable o temática en los objetivos estratégicos." sqref="O7" xr:uid="{E48FB378-F41A-9842-8DD0-AF8A84208E65}"/>
    <dataValidation type="list" allowBlank="1" showInputMessage="1" showErrorMessage="1" sqref="O8:O34" xr:uid="{A5924465-18B9-0D41-BC5D-DAD8EFBC24C9}">
      <formula1>Impacto_Obj_Est_Def</formula1>
    </dataValidation>
  </dataValidations>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D48D-CB47-9442-A7D6-22CD7F593CA9}">
  <dimension ref="B1:O160"/>
  <sheetViews>
    <sheetView showGridLines="0" zoomScale="55" zoomScaleNormal="55" zoomScalePageLayoutView="125" workbookViewId="0">
      <selection activeCell="D2" sqref="D2:O3"/>
    </sheetView>
  </sheetViews>
  <sheetFormatPr baseColWidth="10" defaultColWidth="9.140625" defaultRowHeight="12.75" x14ac:dyDescent="0.2"/>
  <cols>
    <col min="1" max="1" width="2.42578125" style="142" customWidth="1"/>
    <col min="2" max="2" width="4.140625" style="142" customWidth="1"/>
    <col min="3" max="3" width="41.85546875" style="141" customWidth="1"/>
    <col min="4" max="4" width="15.140625" style="142" customWidth="1"/>
    <col min="5" max="5" width="16.85546875" style="142" customWidth="1"/>
    <col min="6" max="6" width="18.7109375" style="142" customWidth="1"/>
    <col min="7" max="8" width="17.85546875" style="142" customWidth="1"/>
    <col min="9" max="9" width="15.42578125" style="142" customWidth="1"/>
    <col min="10" max="10" width="16.42578125" style="142" customWidth="1"/>
    <col min="11" max="11" width="24.140625" style="142" customWidth="1"/>
    <col min="12" max="12" width="24" style="142" customWidth="1"/>
    <col min="13" max="13" width="26.140625" style="142" customWidth="1"/>
    <col min="14" max="14" width="26.28515625" style="142" customWidth="1"/>
    <col min="15" max="15" width="4.140625" style="142" customWidth="1"/>
    <col min="16" max="16" width="3.42578125" style="142" customWidth="1"/>
    <col min="17" max="25" width="9.140625" style="142" customWidth="1"/>
    <col min="26" max="16384" width="9.140625" style="142"/>
  </cols>
  <sheetData>
    <row r="1" spans="2:15" s="88" customFormat="1" ht="13.5" thickBot="1" x14ac:dyDescent="0.25">
      <c r="C1" s="89"/>
    </row>
    <row r="2" spans="2:15" s="88" customFormat="1" ht="54.75" customHeight="1" x14ac:dyDescent="0.2">
      <c r="B2" s="168"/>
      <c r="C2" s="191"/>
      <c r="D2" s="252" t="s">
        <v>119</v>
      </c>
      <c r="E2" s="253"/>
      <c r="F2" s="253"/>
      <c r="G2" s="253"/>
      <c r="H2" s="253"/>
      <c r="I2" s="253"/>
      <c r="J2" s="253"/>
      <c r="K2" s="253"/>
      <c r="L2" s="253"/>
      <c r="M2" s="253"/>
      <c r="N2" s="253"/>
      <c r="O2" s="254"/>
    </row>
    <row r="3" spans="2:15" s="88" customFormat="1" ht="40.5" customHeight="1" thickBot="1" x14ac:dyDescent="0.25">
      <c r="B3" s="169"/>
      <c r="C3" s="192"/>
      <c r="D3" s="255"/>
      <c r="E3" s="256"/>
      <c r="F3" s="256"/>
      <c r="G3" s="256"/>
      <c r="H3" s="256"/>
      <c r="I3" s="256"/>
      <c r="J3" s="256"/>
      <c r="K3" s="256"/>
      <c r="L3" s="256"/>
      <c r="M3" s="256"/>
      <c r="N3" s="256"/>
      <c r="O3" s="257"/>
    </row>
    <row r="4" spans="2:15" s="88" customFormat="1" ht="29.25" customHeight="1" thickBot="1" x14ac:dyDescent="0.25">
      <c r="B4" s="170"/>
      <c r="C4" s="171"/>
      <c r="D4" s="193"/>
      <c r="E4" s="193"/>
      <c r="F4" s="193"/>
      <c r="G4" s="193"/>
      <c r="H4" s="194"/>
      <c r="I4" s="195"/>
      <c r="J4" s="195"/>
      <c r="K4" s="195" t="s">
        <v>125</v>
      </c>
      <c r="L4" s="196"/>
      <c r="M4" s="195" t="s">
        <v>126</v>
      </c>
      <c r="N4" s="198"/>
      <c r="O4" s="197"/>
    </row>
    <row r="5" spans="2:15" s="97" customFormat="1" ht="15.75" customHeight="1" thickBot="1" x14ac:dyDescent="0.3">
      <c r="B5" s="90"/>
      <c r="C5" s="91"/>
      <c r="D5" s="92"/>
      <c r="E5" s="93">
        <v>0.5</v>
      </c>
      <c r="F5" s="91"/>
      <c r="G5" s="93">
        <v>0.5</v>
      </c>
      <c r="H5" s="91"/>
      <c r="I5" s="91"/>
      <c r="J5" s="91"/>
      <c r="K5" s="91"/>
      <c r="L5" s="91"/>
      <c r="M5" s="91"/>
      <c r="N5" s="91"/>
      <c r="O5" s="96"/>
    </row>
    <row r="6" spans="2:15" s="97" customFormat="1" ht="126.75" customHeight="1" thickBot="1" x14ac:dyDescent="0.3">
      <c r="B6" s="90"/>
      <c r="C6" s="144" t="s">
        <v>128</v>
      </c>
      <c r="D6" s="104" t="s">
        <v>131</v>
      </c>
      <c r="E6" s="104" t="s">
        <v>132</v>
      </c>
      <c r="F6" s="107" t="s">
        <v>139</v>
      </c>
      <c r="G6" s="104" t="s">
        <v>140</v>
      </c>
      <c r="H6" s="104" t="s">
        <v>141</v>
      </c>
      <c r="I6" s="104" t="s">
        <v>23</v>
      </c>
      <c r="J6" s="104" t="s">
        <v>142</v>
      </c>
      <c r="K6" s="104" t="s">
        <v>143</v>
      </c>
      <c r="L6" s="104" t="s">
        <v>144</v>
      </c>
      <c r="M6" s="104" t="s">
        <v>145</v>
      </c>
      <c r="N6" s="104" t="s">
        <v>146</v>
      </c>
      <c r="O6" s="96"/>
    </row>
    <row r="7" spans="2:15" s="123" customFormat="1" ht="86.25" customHeight="1" x14ac:dyDescent="0.25">
      <c r="B7" s="108"/>
      <c r="C7" s="175" t="s">
        <v>176</v>
      </c>
      <c r="D7" s="145" t="s">
        <v>42</v>
      </c>
      <c r="E7" s="115">
        <f>INDEX(Tiempo_Ult_Aud_Calif,MATCH('Priorización Proyectos'!D7,Tiempo_Ult_Aud_Def,0))</f>
        <v>3</v>
      </c>
      <c r="F7" s="116" t="s">
        <v>78</v>
      </c>
      <c r="G7" s="118">
        <f t="shared" ref="G7:G20" si="0">INDEX(Impacto_Ppto_Calif,MATCH(F7,Impacto_Ppto_Def,0))</f>
        <v>3</v>
      </c>
      <c r="H7" s="120">
        <f>$E$5*E7+$G$5*G7</f>
        <v>3</v>
      </c>
      <c r="I7" s="120" t="str">
        <f t="shared" ref="I7" si="1">LOOKUP(H7,Nivel_Criticidad)</f>
        <v>Alto</v>
      </c>
      <c r="J7" s="118" t="str">
        <f t="shared" ref="J7:J20" si="2">INDEX(Ciclo_Rotación_Calif,MATCH(I7,Ciclo_Rotación_Def,0))</f>
        <v>Cada 2 años</v>
      </c>
      <c r="K7" s="121" t="str">
        <f t="shared" ref="K7:K20" si="3">IF(J7="Cada año",C7,"")</f>
        <v/>
      </c>
      <c r="L7" s="121" t="str">
        <f t="shared" ref="L7:L20" si="4">IF(OR(J7="Cada año",J7="Cada 2 años"),C7,"")</f>
        <v>Apoyo al gobierno en una correcta inserción de Colombia en los mercados internacionales, apertura de nuevos mercados y la profundización de los existentes – Nacional - Vice Comercio - $2.891.976.929</v>
      </c>
      <c r="M7" s="121" t="str">
        <f t="shared" ref="M7:M20" si="5">IF(OR(J7="Cada año",J7="Cada 3 años"),C7,"")</f>
        <v/>
      </c>
      <c r="N7" s="121" t="str">
        <f t="shared" ref="N7:N20" si="6">IF(OR(J7="Cada año",J7="Cada 2 años",J7="Cada 4 años"),C7,"")</f>
        <v>Apoyo al gobierno en una correcta inserción de Colombia en los mercados internacionales, apertura de nuevos mercados y la profundización de los existentes – Nacional - Vice Comercio - $2.891.976.929</v>
      </c>
      <c r="O7" s="122"/>
    </row>
    <row r="8" spans="2:15" s="123" customFormat="1" ht="102" x14ac:dyDescent="0.25">
      <c r="B8" s="108"/>
      <c r="C8" s="176" t="s">
        <v>177</v>
      </c>
      <c r="D8" s="146" t="s">
        <v>42</v>
      </c>
      <c r="E8" s="115">
        <f>INDEX(Tiempo_Ult_Aud_Calif,MATCH('Priorización Proyectos'!D8,Tiempo_Ult_Aud_Def,0))</f>
        <v>3</v>
      </c>
      <c r="F8" s="116" t="s">
        <v>77</v>
      </c>
      <c r="G8" s="118">
        <f t="shared" si="0"/>
        <v>4</v>
      </c>
      <c r="H8" s="120">
        <f>$E$5*E8+$G$5*G8</f>
        <v>3.5</v>
      </c>
      <c r="I8" s="120" t="str">
        <f t="shared" ref="I8:I12" si="7">LOOKUP(H8,Nivel_Criticidad)</f>
        <v>Alto</v>
      </c>
      <c r="J8" s="118" t="str">
        <f t="shared" si="2"/>
        <v>Cada 2 años</v>
      </c>
      <c r="K8" s="121" t="str">
        <f t="shared" si="3"/>
        <v/>
      </c>
      <c r="L8" s="121" t="str">
        <f t="shared" si="4"/>
        <v>Fortalecimiento de los servicios brindados a los usuarios de comercio exterior a nivel nacional - Dirección de Comercio Exterior - $9.698.657.136</v>
      </c>
      <c r="M8" s="121" t="str">
        <f t="shared" si="5"/>
        <v/>
      </c>
      <c r="N8" s="121" t="str">
        <f t="shared" si="6"/>
        <v>Fortalecimiento de los servicios brindados a los usuarios de comercio exterior a nivel nacional - Dirección de Comercio Exterior - $9.698.657.136</v>
      </c>
      <c r="O8" s="122"/>
    </row>
    <row r="9" spans="2:15" s="123" customFormat="1" ht="153" x14ac:dyDescent="0.25">
      <c r="B9" s="108"/>
      <c r="C9" s="177" t="s">
        <v>178</v>
      </c>
      <c r="D9" s="146" t="s">
        <v>44</v>
      </c>
      <c r="E9" s="115">
        <f>INDEX(Tiempo_Ult_Aud_Calif,MATCH('Priorización Proyectos'!D9,Tiempo_Ult_Aud_Def,0))</f>
        <v>5</v>
      </c>
      <c r="F9" s="116" t="s">
        <v>77</v>
      </c>
      <c r="G9" s="118">
        <f t="shared" si="0"/>
        <v>4</v>
      </c>
      <c r="H9" s="120">
        <f>$E$5*E9+$G$5*G9</f>
        <v>4.5</v>
      </c>
      <c r="I9" s="120" t="str">
        <f t="shared" si="7"/>
        <v>Extremo</v>
      </c>
      <c r="J9" s="118" t="str">
        <f t="shared" si="2"/>
        <v>Cada año</v>
      </c>
      <c r="K9" s="121" t="str">
        <f t="shared" si="3"/>
        <v>Fortalecimiento de los estándares de calidad en la infraestructura productiva nacional a partir del reconocimiento y desarrollo nacional e internacional del Subsistema Nacional de la Calidad Nacional – Regulación - $9.000.000.000</v>
      </c>
      <c r="L9" s="121" t="str">
        <f t="shared" si="4"/>
        <v>Fortalecimiento de los estándares de calidad en la infraestructura productiva nacional a partir del reconocimiento y desarrollo nacional e internacional del Subsistema Nacional de la Calidad Nacional – Regulación - $9.000.000.000</v>
      </c>
      <c r="M9" s="121" t="str">
        <f t="shared" si="5"/>
        <v>Fortalecimiento de los estándares de calidad en la infraestructura productiva nacional a partir del reconocimiento y desarrollo nacional e internacional del Subsistema Nacional de la Calidad Nacional – Regulación - $9.000.000.000</v>
      </c>
      <c r="N9" s="121" t="str">
        <f t="shared" si="6"/>
        <v>Fortalecimiento de los estándares de calidad en la infraestructura productiva nacional a partir del reconocimiento y desarrollo nacional e internacional del Subsistema Nacional de la Calidad Nacional – Regulación - $9.000.000.000</v>
      </c>
      <c r="O9" s="122"/>
    </row>
    <row r="10" spans="2:15" s="123" customFormat="1" ht="89.25" x14ac:dyDescent="0.25">
      <c r="B10" s="108"/>
      <c r="C10" s="177" t="s">
        <v>179</v>
      </c>
      <c r="D10" s="146" t="s">
        <v>42</v>
      </c>
      <c r="E10" s="147">
        <f>INDEX(Tiempo_Ult_Aud_Calif,MATCH('Priorización Proyectos'!D10,Tiempo_Ult_Aud_Def,0))</f>
        <v>3</v>
      </c>
      <c r="F10" s="116" t="s">
        <v>77</v>
      </c>
      <c r="G10" s="118">
        <f t="shared" si="0"/>
        <v>4</v>
      </c>
      <c r="H10" s="120">
        <f t="shared" ref="H10:H20" si="8">$E$5*E10+$G$5*G10</f>
        <v>3.5</v>
      </c>
      <c r="I10" s="120" t="str">
        <f t="shared" si="7"/>
        <v>Alto</v>
      </c>
      <c r="J10" s="118" t="str">
        <f t="shared" si="2"/>
        <v>Cada 2 años</v>
      </c>
      <c r="K10" s="121" t="str">
        <f t="shared" si="3"/>
        <v/>
      </c>
      <c r="L10" s="121" t="str">
        <f t="shared" si="4"/>
        <v>Apoyo para el acceso a los mercados de las unidades productivas de la población víctima del conflicto armado nacional – MiPymes - $20.157.100.000</v>
      </c>
      <c r="M10" s="121" t="str">
        <f t="shared" si="5"/>
        <v/>
      </c>
      <c r="N10" s="121" t="str">
        <f t="shared" si="6"/>
        <v>Apoyo para el acceso a los mercados de las unidades productivas de la población víctima del conflicto armado nacional – MiPymes - $20.157.100.000</v>
      </c>
      <c r="O10" s="122"/>
    </row>
    <row r="11" spans="2:15" s="123" customFormat="1" ht="165.75" x14ac:dyDescent="0.25">
      <c r="B11" s="108"/>
      <c r="C11" s="177" t="s">
        <v>180</v>
      </c>
      <c r="D11" s="146" t="s">
        <v>44</v>
      </c>
      <c r="E11" s="115">
        <f>INDEX(Tiempo_Ult_Aud_Calif,MATCH('Priorización Proyectos'!D11,Tiempo_Ult_Aud_Def,0))</f>
        <v>5</v>
      </c>
      <c r="F11" s="116" t="s">
        <v>78</v>
      </c>
      <c r="G11" s="118">
        <f t="shared" si="0"/>
        <v>3</v>
      </c>
      <c r="H11" s="120">
        <f t="shared" si="8"/>
        <v>4</v>
      </c>
      <c r="I11" s="120" t="str">
        <f t="shared" si="7"/>
        <v>Extremo</v>
      </c>
      <c r="J11" s="118" t="str">
        <f t="shared" si="2"/>
        <v>Cada año</v>
      </c>
      <c r="K11" s="121" t="str">
        <f t="shared" si="3"/>
        <v>Fortalecimiento del entorno competitivo en la industria a nivel nacional, propiciando un escenario sostenible que garantice la transparencia, coherencia, calidad de normas y trámites en aras de fortalecer el crecimiento del país – Regulación - $3.500.000.000</v>
      </c>
      <c r="L11" s="121" t="str">
        <f t="shared" si="4"/>
        <v>Fortalecimiento del entorno competitivo en la industria a nivel nacional, propiciando un escenario sostenible que garantice la transparencia, coherencia, calidad de normas y trámites en aras de fortalecer el crecimiento del país – Regulación - $3.500.000.000</v>
      </c>
      <c r="M11" s="121" t="str">
        <f t="shared" si="5"/>
        <v>Fortalecimiento del entorno competitivo en la industria a nivel nacional, propiciando un escenario sostenible que garantice la transparencia, coherencia, calidad de normas y trámites en aras de fortalecer el crecimiento del país – Regulación - $3.500.000.000</v>
      </c>
      <c r="N11" s="121" t="str">
        <f t="shared" si="6"/>
        <v>Fortalecimiento del entorno competitivo en la industria a nivel nacional, propiciando un escenario sostenible que garantice la transparencia, coherencia, calidad de normas y trámites en aras de fortalecer el crecimiento del país – Regulación - $3.500.000.000</v>
      </c>
      <c r="O11" s="122"/>
    </row>
    <row r="12" spans="2:15" s="123" customFormat="1" ht="75" customHeight="1" x14ac:dyDescent="0.25">
      <c r="B12" s="108"/>
      <c r="C12" s="177" t="s">
        <v>181</v>
      </c>
      <c r="D12" s="146" t="s">
        <v>44</v>
      </c>
      <c r="E12" s="115">
        <f>INDEX(Tiempo_Ult_Aud_Calif,MATCH('Priorización Proyectos'!D12,Tiempo_Ult_Aud_Def,0))</f>
        <v>5</v>
      </c>
      <c r="F12" s="116" t="s">
        <v>76</v>
      </c>
      <c r="G12" s="118">
        <f t="shared" ref="G12" si="9">INDEX(Impacto_Ppto_Calif,MATCH(F12,Impacto_Ppto_Def,0))</f>
        <v>5</v>
      </c>
      <c r="H12" s="120">
        <f t="shared" ref="H12" si="10">$E$5*E12+$G$5*G12</f>
        <v>5</v>
      </c>
      <c r="I12" s="120" t="str">
        <f t="shared" si="7"/>
        <v>Extremo</v>
      </c>
      <c r="J12" s="118" t="str">
        <f t="shared" si="2"/>
        <v>Cada año</v>
      </c>
      <c r="K12" s="121" t="str">
        <f t="shared" si="3"/>
        <v>Fortalecimiento de las capacidades empresariales para el desarrollo productivo sostenible e incluyente a nivel nacional – MiPymes - $79.362.825.000</v>
      </c>
      <c r="L12" s="121" t="str">
        <f t="shared" si="4"/>
        <v>Fortalecimiento de las capacidades empresariales para el desarrollo productivo sostenible e incluyente a nivel nacional – MiPymes - $79.362.825.000</v>
      </c>
      <c r="M12" s="121" t="str">
        <f t="shared" si="5"/>
        <v>Fortalecimiento de las capacidades empresariales para el desarrollo productivo sostenible e incluyente a nivel nacional – MiPymes - $79.362.825.000</v>
      </c>
      <c r="N12" s="121" t="str">
        <f t="shared" si="6"/>
        <v>Fortalecimiento de las capacidades empresariales para el desarrollo productivo sostenible e incluyente a nivel nacional – MiPymes - $79.362.825.000</v>
      </c>
      <c r="O12" s="122"/>
    </row>
    <row r="13" spans="2:15" s="123" customFormat="1" ht="89.25" x14ac:dyDescent="0.25">
      <c r="B13" s="108"/>
      <c r="C13" s="177" t="s">
        <v>182</v>
      </c>
      <c r="D13" s="146" t="s">
        <v>40</v>
      </c>
      <c r="E13" s="115">
        <f>INDEX(Tiempo_Ult_Aud_Calif,MATCH('Priorización Proyectos'!D13,Tiempo_Ult_Aud_Def,0))</f>
        <v>1</v>
      </c>
      <c r="F13" s="116" t="s">
        <v>76</v>
      </c>
      <c r="G13" s="118">
        <f t="shared" si="0"/>
        <v>5</v>
      </c>
      <c r="H13" s="120">
        <f t="shared" si="8"/>
        <v>3</v>
      </c>
      <c r="I13" s="120" t="str">
        <f t="shared" ref="I13:I16" si="11">LOOKUP(H13,Nivel_Criticidad)</f>
        <v>Alto</v>
      </c>
      <c r="J13" s="118" t="str">
        <f t="shared" si="2"/>
        <v>Cada 2 años</v>
      </c>
      <c r="K13" s="121" t="str">
        <f t="shared" si="3"/>
        <v/>
      </c>
      <c r="L13" s="121" t="str">
        <f t="shared" si="4"/>
        <v>Fortalecimiento de la política para el fomento de la industria, la competitividad y la productividad a nivel nacional – DPYC - $64.931.575.000</v>
      </c>
      <c r="M13" s="121" t="str">
        <f t="shared" si="5"/>
        <v/>
      </c>
      <c r="N13" s="121" t="str">
        <f t="shared" si="6"/>
        <v>Fortalecimiento de la política para el fomento de la industria, la competitividad y la productividad a nivel nacional – DPYC - $64.931.575.000</v>
      </c>
      <c r="O13" s="122"/>
    </row>
    <row r="14" spans="2:15" s="123" customFormat="1" ht="102" x14ac:dyDescent="0.25">
      <c r="B14" s="108"/>
      <c r="C14" s="177" t="s">
        <v>183</v>
      </c>
      <c r="D14" s="146" t="s">
        <v>44</v>
      </c>
      <c r="E14" s="115">
        <f>INDEX(Tiempo_Ult_Aud_Calif,MATCH('Priorización Proyectos'!D14,Tiempo_Ult_Aud_Def,0))</f>
        <v>5</v>
      </c>
      <c r="F14" s="116" t="s">
        <v>78</v>
      </c>
      <c r="G14" s="118">
        <f t="shared" si="0"/>
        <v>3</v>
      </c>
      <c r="H14" s="120">
        <f t="shared" si="8"/>
        <v>4</v>
      </c>
      <c r="I14" s="120" t="str">
        <f t="shared" si="11"/>
        <v>Extremo</v>
      </c>
      <c r="J14" s="118" t="str">
        <f t="shared" si="2"/>
        <v>Cada año</v>
      </c>
      <c r="K14" s="121" t="str">
        <f t="shared" si="3"/>
        <v>Desarrollo sostenible y responsable del turismo incluyente para consolidar a Colombia como el país de la belleza nacional - Vice Turismo - $6.500.000.000</v>
      </c>
      <c r="L14" s="121" t="str">
        <f t="shared" si="4"/>
        <v>Desarrollo sostenible y responsable del turismo incluyente para consolidar a Colombia como el país de la belleza nacional - Vice Turismo - $6.500.000.000</v>
      </c>
      <c r="M14" s="121" t="str">
        <f t="shared" si="5"/>
        <v>Desarrollo sostenible y responsable del turismo incluyente para consolidar a Colombia como el país de la belleza nacional - Vice Turismo - $6.500.000.000</v>
      </c>
      <c r="N14" s="121" t="str">
        <f t="shared" si="6"/>
        <v>Desarrollo sostenible y responsable del turismo incluyente para consolidar a Colombia como el país de la belleza nacional - Vice Turismo - $6.500.000.000</v>
      </c>
      <c r="O14" s="122"/>
    </row>
    <row r="15" spans="2:15" s="123" customFormat="1" ht="75.95" customHeight="1" x14ac:dyDescent="0.25">
      <c r="B15" s="108"/>
      <c r="C15" s="177" t="s">
        <v>184</v>
      </c>
      <c r="D15" s="146" t="s">
        <v>44</v>
      </c>
      <c r="E15" s="115">
        <f>INDEX(Tiempo_Ult_Aud_Calif,MATCH('Priorización Proyectos'!D15,Tiempo_Ult_Aud_Def,0))</f>
        <v>5</v>
      </c>
      <c r="F15" s="116" t="s">
        <v>80</v>
      </c>
      <c r="G15" s="118">
        <f t="shared" si="0"/>
        <v>1</v>
      </c>
      <c r="H15" s="120">
        <f t="shared" si="8"/>
        <v>3</v>
      </c>
      <c r="I15" s="120" t="str">
        <f t="shared" si="11"/>
        <v>Alto</v>
      </c>
      <c r="J15" s="118" t="str">
        <f t="shared" si="2"/>
        <v>Cada 2 años</v>
      </c>
      <c r="K15" s="121" t="str">
        <f t="shared" si="3"/>
        <v/>
      </c>
      <c r="L15" s="121" t="str">
        <f t="shared" si="4"/>
        <v>Mejoramiento en la aplicación y convergencia hacia estándares internacionales de información financiera y de aseguramiento de la información a nivel nacional - $180.000.000</v>
      </c>
      <c r="M15" s="121" t="str">
        <f t="shared" si="5"/>
        <v/>
      </c>
      <c r="N15" s="121" t="str">
        <f t="shared" si="6"/>
        <v>Mejoramiento en la aplicación y convergencia hacia estándares internacionales de información financiera y de aseguramiento de la información a nivel nacional - $180.000.000</v>
      </c>
      <c r="O15" s="122"/>
    </row>
    <row r="16" spans="2:15" s="123" customFormat="1" ht="114.75" x14ac:dyDescent="0.25">
      <c r="B16" s="108"/>
      <c r="C16" s="177" t="s">
        <v>185</v>
      </c>
      <c r="D16" s="146" t="s">
        <v>44</v>
      </c>
      <c r="E16" s="115">
        <f>INDEX(Tiempo_Ult_Aud_Calif,MATCH('Priorización Proyectos'!D16,Tiempo_Ult_Aud_Def,0))</f>
        <v>5</v>
      </c>
      <c r="F16" s="116" t="s">
        <v>79</v>
      </c>
      <c r="G16" s="118">
        <f t="shared" si="0"/>
        <v>2</v>
      </c>
      <c r="H16" s="120">
        <f t="shared" si="8"/>
        <v>3.5</v>
      </c>
      <c r="I16" s="120" t="str">
        <f t="shared" si="11"/>
        <v>Alto</v>
      </c>
      <c r="J16" s="118" t="str">
        <f t="shared" si="2"/>
        <v>Cada 2 años</v>
      </c>
      <c r="K16" s="121" t="str">
        <f t="shared" si="3"/>
        <v/>
      </c>
      <c r="L16" s="121" t="str">
        <f t="shared" si="4"/>
        <v>Fortalecimiento de la planeación estratégica, producción, análisis, difusión y evaluación de instrumentos de política pública y de información estadística sectorial – OAPS - 1.250.058.000</v>
      </c>
      <c r="M16" s="121" t="str">
        <f t="shared" si="5"/>
        <v/>
      </c>
      <c r="N16" s="121" t="str">
        <f t="shared" si="6"/>
        <v>Fortalecimiento de la planeación estratégica, producción, análisis, difusión y evaluación de instrumentos de política pública y de información estadística sectorial – OAPS - 1.250.058.000</v>
      </c>
      <c r="O16" s="122"/>
    </row>
    <row r="17" spans="2:15" s="123" customFormat="1" ht="114.75" x14ac:dyDescent="0.25">
      <c r="B17" s="108"/>
      <c r="C17" s="177" t="s">
        <v>186</v>
      </c>
      <c r="D17" s="146" t="s">
        <v>44</v>
      </c>
      <c r="E17" s="115">
        <f>INDEX(Tiempo_Ult_Aud_Calif,MATCH('Priorización Proyectos'!D17,Tiempo_Ult_Aud_Def,0))</f>
        <v>5</v>
      </c>
      <c r="F17" s="116" t="s">
        <v>78</v>
      </c>
      <c r="G17" s="118">
        <f t="shared" si="0"/>
        <v>3</v>
      </c>
      <c r="H17" s="120">
        <f t="shared" si="8"/>
        <v>4</v>
      </c>
      <c r="I17" s="120" t="str">
        <f t="shared" ref="I17:I20" si="12">LOOKUP(H17,Nivel_Criticidad)</f>
        <v>Extremo</v>
      </c>
      <c r="J17" s="118" t="str">
        <f t="shared" si="2"/>
        <v>Cada año</v>
      </c>
      <c r="K17" s="121" t="str">
        <f t="shared" si="3"/>
        <v>Ampliación de la capacidad de los servicios de las tecnologías de información en el MINCIT nacional - Oficina de Sistemas de Información - 6.500.000.000</v>
      </c>
      <c r="L17" s="121" t="str">
        <f t="shared" si="4"/>
        <v>Ampliación de la capacidad de los servicios de las tecnologías de información en el MINCIT nacional - Oficina de Sistemas de Información - 6.500.000.000</v>
      </c>
      <c r="M17" s="121" t="str">
        <f t="shared" si="5"/>
        <v>Ampliación de la capacidad de los servicios de las tecnologías de información en el MINCIT nacional - Oficina de Sistemas de Información - 6.500.000.000</v>
      </c>
      <c r="N17" s="121" t="str">
        <f t="shared" si="6"/>
        <v>Ampliación de la capacidad de los servicios de las tecnologías de información en el MINCIT nacional - Oficina de Sistemas de Información - 6.500.000.000</v>
      </c>
      <c r="O17" s="122"/>
    </row>
    <row r="18" spans="2:15" s="130" customFormat="1" ht="178.5" x14ac:dyDescent="0.25">
      <c r="B18" s="126"/>
      <c r="C18" s="177" t="s">
        <v>187</v>
      </c>
      <c r="D18" s="146" t="s">
        <v>44</v>
      </c>
      <c r="E18" s="115">
        <f>INDEX(Tiempo_Ult_Aud_Calif,MATCH('Priorización Proyectos'!D18,Tiempo_Ult_Aud_Def,0))</f>
        <v>5</v>
      </c>
      <c r="F18" s="116" t="s">
        <v>78</v>
      </c>
      <c r="G18" s="118">
        <f t="shared" si="0"/>
        <v>3</v>
      </c>
      <c r="H18" s="120">
        <f t="shared" si="8"/>
        <v>4</v>
      </c>
      <c r="I18" s="120" t="str">
        <f t="shared" si="12"/>
        <v>Extremo</v>
      </c>
      <c r="J18" s="118" t="str">
        <f t="shared" si="2"/>
        <v>Cada año</v>
      </c>
      <c r="K18" s="121" t="str">
        <f t="shared" si="3"/>
        <v>Fortalecimiento diseño, implementación y sostenibilidad del modelo de gestión para el desarrollo integral del talento humano y relacionamiento con la ciudadanía en el Ministerio de Comercio, Industria y Turismo Bogotá – Secretaría General Talento Humano - $4.000.000.000</v>
      </c>
      <c r="L18" s="121" t="str">
        <f t="shared" si="4"/>
        <v>Fortalecimiento diseño, implementación y sostenibilidad del modelo de gestión para el desarrollo integral del talento humano y relacionamiento con la ciudadanía en el Ministerio de Comercio, Industria y Turismo Bogotá – Secretaría General Talento Humano - $4.000.000.000</v>
      </c>
      <c r="M18" s="121" t="str">
        <f t="shared" si="5"/>
        <v>Fortalecimiento diseño, implementación y sostenibilidad del modelo de gestión para el desarrollo integral del talento humano y relacionamiento con la ciudadanía en el Ministerio de Comercio, Industria y Turismo Bogotá – Secretaría General Talento Humano - $4.000.000.000</v>
      </c>
      <c r="N18" s="121" t="str">
        <f t="shared" si="6"/>
        <v>Fortalecimiento diseño, implementación y sostenibilidad del modelo de gestión para el desarrollo integral del talento humano y relacionamiento con la ciudadanía en el Ministerio de Comercio, Industria y Turismo Bogotá – Secretaría General Talento Humano - $4.000.000.000</v>
      </c>
      <c r="O18" s="129"/>
    </row>
    <row r="19" spans="2:15" s="130" customFormat="1" ht="114.75" x14ac:dyDescent="0.25">
      <c r="B19" s="126"/>
      <c r="C19" s="177" t="s">
        <v>188</v>
      </c>
      <c r="D19" s="146" t="s">
        <v>44</v>
      </c>
      <c r="E19" s="115">
        <f>INDEX(Tiempo_Ult_Aud_Calif,MATCH('Priorización Proyectos'!D19,Tiempo_Ult_Aud_Def,0))</f>
        <v>5</v>
      </c>
      <c r="F19" s="116" t="s">
        <v>80</v>
      </c>
      <c r="G19" s="118">
        <f t="shared" ref="G19" si="13">INDEX(Impacto_Ppto_Calif,MATCH(F19,Impacto_Ppto_Def,0))</f>
        <v>1</v>
      </c>
      <c r="H19" s="120">
        <f t="shared" ref="H19" si="14">$E$5*E19+$G$5*G19</f>
        <v>3</v>
      </c>
      <c r="I19" s="120" t="str">
        <f t="shared" ref="I19" si="15">LOOKUP(H19,Nivel_Criticidad)</f>
        <v>Alto</v>
      </c>
      <c r="J19" s="118" t="str">
        <f t="shared" ref="J19" si="16">INDEX(Ciclo_Rotación_Calif,MATCH(I19,Ciclo_Rotación_Def,0))</f>
        <v>Cada 2 años</v>
      </c>
      <c r="K19" s="121" t="str">
        <f t="shared" si="3"/>
        <v/>
      </c>
      <c r="L19" s="121" t="str">
        <f t="shared" si="4"/>
        <v>Fortalecimiento de los procesos gestión documental del Ministerio de Comercio, Industria y Turismo Bogotá - Secretaría General Gestión Documental - $350.000.000</v>
      </c>
      <c r="M19" s="121" t="str">
        <f t="shared" si="5"/>
        <v/>
      </c>
      <c r="N19" s="121" t="str">
        <f t="shared" si="6"/>
        <v>Fortalecimiento de los procesos gestión documental del Ministerio de Comercio, Industria y Turismo Bogotá - Secretaría General Gestión Documental - $350.000.000</v>
      </c>
      <c r="O19" s="129"/>
    </row>
    <row r="20" spans="2:15" s="130" customFormat="1" ht="90" thickBot="1" x14ac:dyDescent="0.3">
      <c r="B20" s="126"/>
      <c r="C20" s="178" t="s">
        <v>189</v>
      </c>
      <c r="D20" s="148" t="s">
        <v>44</v>
      </c>
      <c r="E20" s="115">
        <f>INDEX(Tiempo_Ult_Aud_Calif,MATCH('Priorización Proyectos'!D20,Tiempo_Ult_Aud_Def,0))</f>
        <v>5</v>
      </c>
      <c r="F20" s="149" t="s">
        <v>80</v>
      </c>
      <c r="G20" s="118">
        <f t="shared" si="0"/>
        <v>1</v>
      </c>
      <c r="H20" s="120">
        <f t="shared" si="8"/>
        <v>3</v>
      </c>
      <c r="I20" s="120" t="str">
        <f t="shared" si="12"/>
        <v>Alto</v>
      </c>
      <c r="J20" s="118" t="str">
        <f t="shared" si="2"/>
        <v>Cada 2 años</v>
      </c>
      <c r="K20" s="121" t="str">
        <f t="shared" si="3"/>
        <v/>
      </c>
      <c r="L20" s="121" t="str">
        <f t="shared" si="4"/>
        <v>Aprovechamiento del potencial de atracción de inversión extranjera directa (IED) del país nacional - Dirección de Inversión Extranjera - $7.000.000.000</v>
      </c>
      <c r="M20" s="121" t="str">
        <f t="shared" si="5"/>
        <v/>
      </c>
      <c r="N20" s="121" t="str">
        <f t="shared" si="6"/>
        <v>Aprovechamiento del potencial de atracción de inversión extranjera directa (IED) del país nacional - Dirección de Inversión Extranjera - $7.000.000.000</v>
      </c>
      <c r="O20" s="129"/>
    </row>
    <row r="21" spans="2:15" s="138" customFormat="1" ht="13.5" thickBot="1" x14ac:dyDescent="0.25">
      <c r="B21" s="134"/>
      <c r="C21" s="135"/>
      <c r="D21" s="136"/>
      <c r="E21" s="136"/>
      <c r="F21" s="136"/>
      <c r="G21" s="136"/>
      <c r="H21" s="136"/>
      <c r="I21" s="136"/>
      <c r="J21" s="136"/>
      <c r="K21" s="136"/>
      <c r="L21" s="136"/>
      <c r="M21" s="136"/>
      <c r="N21" s="136"/>
      <c r="O21" s="137"/>
    </row>
    <row r="22" spans="2:15" s="138" customFormat="1" x14ac:dyDescent="0.2">
      <c r="C22" s="139"/>
    </row>
    <row r="23" spans="2:15" s="138" customFormat="1" x14ac:dyDescent="0.2">
      <c r="B23" s="140" t="s">
        <v>172</v>
      </c>
      <c r="C23" s="139"/>
    </row>
    <row r="24" spans="2:15" s="138" customFormat="1" x14ac:dyDescent="0.2">
      <c r="C24" s="139"/>
    </row>
    <row r="25" spans="2:15" s="138" customFormat="1" x14ac:dyDescent="0.2">
      <c r="C25" s="139"/>
    </row>
    <row r="26" spans="2:15" s="138" customFormat="1" x14ac:dyDescent="0.2">
      <c r="C26" s="139"/>
    </row>
    <row r="27" spans="2:15" s="138" customFormat="1" x14ac:dyDescent="0.2">
      <c r="C27" s="139"/>
    </row>
    <row r="28" spans="2:15" s="138" customFormat="1" x14ac:dyDescent="0.2">
      <c r="C28" s="139"/>
    </row>
    <row r="29" spans="2:15" s="138" customFormat="1" x14ac:dyDescent="0.2">
      <c r="C29" s="139"/>
    </row>
    <row r="30" spans="2:15" s="138" customFormat="1" x14ac:dyDescent="0.2">
      <c r="C30" s="139"/>
    </row>
    <row r="31" spans="2:15" s="138" customFormat="1" x14ac:dyDescent="0.2">
      <c r="C31" s="139"/>
    </row>
    <row r="32" spans="2:15" s="138" customFormat="1" x14ac:dyDescent="0.2">
      <c r="C32" s="139"/>
    </row>
    <row r="33" spans="3:3" s="138" customFormat="1" x14ac:dyDescent="0.2">
      <c r="C33" s="139"/>
    </row>
    <row r="34" spans="3:3" s="138" customFormat="1" x14ac:dyDescent="0.2">
      <c r="C34" s="139"/>
    </row>
    <row r="35" spans="3:3" s="138" customFormat="1" x14ac:dyDescent="0.2">
      <c r="C35" s="139"/>
    </row>
    <row r="36" spans="3:3" s="138" customFormat="1" x14ac:dyDescent="0.2">
      <c r="C36" s="139"/>
    </row>
    <row r="37" spans="3:3" s="138" customFormat="1" x14ac:dyDescent="0.2">
      <c r="C37" s="139"/>
    </row>
    <row r="38" spans="3:3" s="138" customFormat="1" x14ac:dyDescent="0.2">
      <c r="C38" s="139"/>
    </row>
    <row r="39" spans="3:3" s="138" customFormat="1" x14ac:dyDescent="0.2">
      <c r="C39" s="139"/>
    </row>
    <row r="40" spans="3:3" s="138" customFormat="1" x14ac:dyDescent="0.2">
      <c r="C40" s="139"/>
    </row>
    <row r="41" spans="3:3" s="138" customFormat="1" x14ac:dyDescent="0.2">
      <c r="C41" s="139"/>
    </row>
    <row r="42" spans="3:3" s="138" customFormat="1" x14ac:dyDescent="0.2">
      <c r="C42" s="139"/>
    </row>
    <row r="43" spans="3:3" s="138" customFormat="1" x14ac:dyDescent="0.2">
      <c r="C43" s="139"/>
    </row>
    <row r="44" spans="3:3" s="138" customFormat="1" x14ac:dyDescent="0.2">
      <c r="C44" s="139"/>
    </row>
    <row r="45" spans="3:3" s="138" customFormat="1" x14ac:dyDescent="0.2">
      <c r="C45" s="139"/>
    </row>
    <row r="46" spans="3:3" s="138" customFormat="1" x14ac:dyDescent="0.2">
      <c r="C46" s="139"/>
    </row>
    <row r="47" spans="3:3" s="138" customFormat="1" x14ac:dyDescent="0.2">
      <c r="C47" s="139"/>
    </row>
    <row r="48" spans="3:3" s="138" customFormat="1" x14ac:dyDescent="0.2">
      <c r="C48" s="139"/>
    </row>
    <row r="49" spans="3:3" s="138" customFormat="1" x14ac:dyDescent="0.2">
      <c r="C49" s="139"/>
    </row>
    <row r="50" spans="3:3" s="138" customFormat="1" x14ac:dyDescent="0.2">
      <c r="C50" s="139"/>
    </row>
    <row r="51" spans="3:3" s="138" customFormat="1" x14ac:dyDescent="0.2">
      <c r="C51" s="139"/>
    </row>
    <row r="52" spans="3:3" s="138" customFormat="1" x14ac:dyDescent="0.2">
      <c r="C52" s="139"/>
    </row>
    <row r="53" spans="3:3" s="138" customFormat="1" x14ac:dyDescent="0.2">
      <c r="C53" s="139"/>
    </row>
    <row r="54" spans="3:3" s="138" customFormat="1" x14ac:dyDescent="0.2">
      <c r="C54" s="139"/>
    </row>
    <row r="55" spans="3:3" s="138" customFormat="1" x14ac:dyDescent="0.2">
      <c r="C55" s="139"/>
    </row>
    <row r="56" spans="3:3" s="138" customFormat="1" x14ac:dyDescent="0.2">
      <c r="C56" s="139"/>
    </row>
    <row r="57" spans="3:3" s="138" customFormat="1" x14ac:dyDescent="0.2">
      <c r="C57" s="139"/>
    </row>
    <row r="58" spans="3:3" s="138" customFormat="1" x14ac:dyDescent="0.2">
      <c r="C58" s="139"/>
    </row>
    <row r="59" spans="3:3" s="138" customFormat="1" x14ac:dyDescent="0.2">
      <c r="C59" s="139"/>
    </row>
    <row r="60" spans="3:3" s="138" customFormat="1" x14ac:dyDescent="0.2">
      <c r="C60" s="139"/>
    </row>
    <row r="61" spans="3:3" s="138" customFormat="1" x14ac:dyDescent="0.2">
      <c r="C61" s="139"/>
    </row>
    <row r="62" spans="3:3" s="138" customFormat="1" x14ac:dyDescent="0.2">
      <c r="C62" s="139"/>
    </row>
    <row r="63" spans="3:3" s="138" customFormat="1" x14ac:dyDescent="0.2">
      <c r="C63" s="139"/>
    </row>
    <row r="64" spans="3:3" s="138" customFormat="1" x14ac:dyDescent="0.2">
      <c r="C64" s="139"/>
    </row>
    <row r="65" spans="3:3" s="138" customFormat="1" x14ac:dyDescent="0.2">
      <c r="C65" s="139"/>
    </row>
    <row r="66" spans="3:3" s="138" customFormat="1" x14ac:dyDescent="0.2">
      <c r="C66" s="139"/>
    </row>
    <row r="67" spans="3:3" s="138" customFormat="1" x14ac:dyDescent="0.2">
      <c r="C67" s="139"/>
    </row>
    <row r="68" spans="3:3" s="138" customFormat="1" x14ac:dyDescent="0.2">
      <c r="C68" s="139"/>
    </row>
    <row r="69" spans="3:3" s="138" customFormat="1" x14ac:dyDescent="0.2">
      <c r="C69" s="139"/>
    </row>
    <row r="70" spans="3:3" s="138" customFormat="1" x14ac:dyDescent="0.2">
      <c r="C70" s="139"/>
    </row>
    <row r="71" spans="3:3" s="138" customFormat="1" x14ac:dyDescent="0.2">
      <c r="C71" s="139"/>
    </row>
    <row r="72" spans="3:3" s="138" customFormat="1" x14ac:dyDescent="0.2">
      <c r="C72" s="139"/>
    </row>
    <row r="73" spans="3:3" s="138" customFormat="1" x14ac:dyDescent="0.2">
      <c r="C73" s="139"/>
    </row>
    <row r="74" spans="3:3" s="138" customFormat="1" x14ac:dyDescent="0.2">
      <c r="C74" s="139"/>
    </row>
    <row r="75" spans="3:3" s="138" customFormat="1" x14ac:dyDescent="0.2">
      <c r="C75" s="139"/>
    </row>
    <row r="76" spans="3:3" s="138" customFormat="1" x14ac:dyDescent="0.2">
      <c r="C76" s="139"/>
    </row>
    <row r="77" spans="3:3" s="138" customFormat="1" x14ac:dyDescent="0.2">
      <c r="C77" s="139"/>
    </row>
    <row r="78" spans="3:3" s="138" customFormat="1" x14ac:dyDescent="0.2">
      <c r="C78" s="139"/>
    </row>
    <row r="79" spans="3:3" s="138" customFormat="1" x14ac:dyDescent="0.2">
      <c r="C79" s="139"/>
    </row>
    <row r="80" spans="3:3" s="138" customFormat="1" x14ac:dyDescent="0.2">
      <c r="C80" s="139"/>
    </row>
    <row r="81" spans="3:3" s="138" customFormat="1" x14ac:dyDescent="0.2">
      <c r="C81" s="139"/>
    </row>
    <row r="82" spans="3:3" s="138" customFormat="1" x14ac:dyDescent="0.2">
      <c r="C82" s="139"/>
    </row>
    <row r="83" spans="3:3" s="138" customFormat="1" x14ac:dyDescent="0.2">
      <c r="C83" s="139"/>
    </row>
    <row r="84" spans="3:3" s="138" customFormat="1" x14ac:dyDescent="0.2">
      <c r="C84" s="139"/>
    </row>
    <row r="85" spans="3:3" s="138" customFormat="1" x14ac:dyDescent="0.2">
      <c r="C85" s="139"/>
    </row>
    <row r="86" spans="3:3" s="138" customFormat="1" x14ac:dyDescent="0.2">
      <c r="C86" s="139"/>
    </row>
    <row r="87" spans="3:3" s="138" customFormat="1" x14ac:dyDescent="0.2">
      <c r="C87" s="139"/>
    </row>
    <row r="88" spans="3:3" s="138" customFormat="1" x14ac:dyDescent="0.2">
      <c r="C88" s="139"/>
    </row>
    <row r="89" spans="3:3" s="138" customFormat="1" x14ac:dyDescent="0.2">
      <c r="C89" s="139"/>
    </row>
    <row r="90" spans="3:3" s="138" customFormat="1" x14ac:dyDescent="0.2">
      <c r="C90" s="139"/>
    </row>
    <row r="91" spans="3:3" s="138" customFormat="1" x14ac:dyDescent="0.2">
      <c r="C91" s="139"/>
    </row>
    <row r="92" spans="3:3" s="138" customFormat="1" x14ac:dyDescent="0.2">
      <c r="C92" s="139"/>
    </row>
    <row r="93" spans="3:3" s="138" customFormat="1" x14ac:dyDescent="0.2">
      <c r="C93" s="139"/>
    </row>
    <row r="94" spans="3:3" s="138" customFormat="1" x14ac:dyDescent="0.2">
      <c r="C94" s="139"/>
    </row>
    <row r="95" spans="3:3" s="138" customFormat="1" x14ac:dyDescent="0.2">
      <c r="C95" s="139"/>
    </row>
    <row r="96" spans="3:3" s="138" customFormat="1" x14ac:dyDescent="0.2">
      <c r="C96" s="139"/>
    </row>
    <row r="97" spans="3:3" s="138" customFormat="1" x14ac:dyDescent="0.2">
      <c r="C97" s="139"/>
    </row>
    <row r="98" spans="3:3" s="138" customFormat="1" x14ac:dyDescent="0.2">
      <c r="C98" s="139"/>
    </row>
    <row r="99" spans="3:3" s="138" customFormat="1" x14ac:dyDescent="0.2">
      <c r="C99" s="139"/>
    </row>
    <row r="100" spans="3:3" s="138" customFormat="1" x14ac:dyDescent="0.2">
      <c r="C100" s="139"/>
    </row>
    <row r="101" spans="3:3" s="138" customFormat="1" x14ac:dyDescent="0.2">
      <c r="C101" s="139"/>
    </row>
    <row r="102" spans="3:3" s="138" customFormat="1" x14ac:dyDescent="0.2">
      <c r="C102" s="139"/>
    </row>
    <row r="103" spans="3:3" s="138" customFormat="1" x14ac:dyDescent="0.2">
      <c r="C103" s="139"/>
    </row>
    <row r="104" spans="3:3" s="138" customFormat="1" x14ac:dyDescent="0.2">
      <c r="C104" s="139"/>
    </row>
    <row r="105" spans="3:3" s="138" customFormat="1" x14ac:dyDescent="0.2">
      <c r="C105" s="139"/>
    </row>
    <row r="106" spans="3:3" s="138" customFormat="1" x14ac:dyDescent="0.2">
      <c r="C106" s="139"/>
    </row>
    <row r="107" spans="3:3" s="138" customFormat="1" x14ac:dyDescent="0.2">
      <c r="C107" s="139"/>
    </row>
    <row r="108" spans="3:3" s="138" customFormat="1" x14ac:dyDescent="0.2">
      <c r="C108" s="139"/>
    </row>
    <row r="109" spans="3:3" s="138" customFormat="1" x14ac:dyDescent="0.2">
      <c r="C109" s="139"/>
    </row>
    <row r="110" spans="3:3" s="138" customFormat="1" x14ac:dyDescent="0.2">
      <c r="C110" s="139"/>
    </row>
    <row r="111" spans="3:3" s="138" customFormat="1" x14ac:dyDescent="0.2">
      <c r="C111" s="139"/>
    </row>
    <row r="112" spans="3:3" s="138" customFormat="1" x14ac:dyDescent="0.2">
      <c r="C112" s="139"/>
    </row>
    <row r="113" spans="3:3" s="138" customFormat="1" x14ac:dyDescent="0.2">
      <c r="C113" s="139"/>
    </row>
    <row r="114" spans="3:3" s="138" customFormat="1" x14ac:dyDescent="0.2">
      <c r="C114" s="139"/>
    </row>
    <row r="115" spans="3:3" s="138" customFormat="1" x14ac:dyDescent="0.2">
      <c r="C115" s="139"/>
    </row>
    <row r="116" spans="3:3" s="138" customFormat="1" x14ac:dyDescent="0.2">
      <c r="C116" s="139"/>
    </row>
    <row r="117" spans="3:3" s="138" customFormat="1" x14ac:dyDescent="0.2">
      <c r="C117" s="139"/>
    </row>
    <row r="118" spans="3:3" s="138" customFormat="1" x14ac:dyDescent="0.2">
      <c r="C118" s="139"/>
    </row>
    <row r="119" spans="3:3" s="138" customFormat="1" x14ac:dyDescent="0.2">
      <c r="C119" s="139"/>
    </row>
    <row r="120" spans="3:3" s="138" customFormat="1" x14ac:dyDescent="0.2">
      <c r="C120" s="139"/>
    </row>
    <row r="121" spans="3:3" s="138" customFormat="1" x14ac:dyDescent="0.2">
      <c r="C121" s="139"/>
    </row>
    <row r="122" spans="3:3" s="138" customFormat="1" x14ac:dyDescent="0.2">
      <c r="C122" s="139"/>
    </row>
    <row r="123" spans="3:3" s="138" customFormat="1" x14ac:dyDescent="0.2">
      <c r="C123" s="139"/>
    </row>
    <row r="124" spans="3:3" s="138" customFormat="1" x14ac:dyDescent="0.2">
      <c r="C124" s="139"/>
    </row>
    <row r="125" spans="3:3" s="138" customFormat="1" x14ac:dyDescent="0.2">
      <c r="C125" s="139"/>
    </row>
    <row r="126" spans="3:3" s="138" customFormat="1" x14ac:dyDescent="0.2">
      <c r="C126" s="139"/>
    </row>
    <row r="127" spans="3:3" s="138" customFormat="1" x14ac:dyDescent="0.2">
      <c r="C127" s="139"/>
    </row>
    <row r="128" spans="3:3" s="138" customFormat="1" x14ac:dyDescent="0.2">
      <c r="C128" s="139"/>
    </row>
    <row r="129" spans="3:3" s="138" customFormat="1" x14ac:dyDescent="0.2">
      <c r="C129" s="139"/>
    </row>
    <row r="130" spans="3:3" s="138" customFormat="1" x14ac:dyDescent="0.2">
      <c r="C130" s="139"/>
    </row>
    <row r="131" spans="3:3" s="138" customFormat="1" x14ac:dyDescent="0.2">
      <c r="C131" s="139"/>
    </row>
    <row r="132" spans="3:3" s="138" customFormat="1" x14ac:dyDescent="0.2">
      <c r="C132" s="139"/>
    </row>
    <row r="133" spans="3:3" s="138" customFormat="1" x14ac:dyDescent="0.2">
      <c r="C133" s="139"/>
    </row>
    <row r="134" spans="3:3" s="138" customFormat="1" x14ac:dyDescent="0.2">
      <c r="C134" s="139"/>
    </row>
    <row r="135" spans="3:3" s="138" customFormat="1" x14ac:dyDescent="0.2">
      <c r="C135" s="139"/>
    </row>
    <row r="136" spans="3:3" s="138" customFormat="1" x14ac:dyDescent="0.2">
      <c r="C136" s="139"/>
    </row>
    <row r="137" spans="3:3" s="138" customFormat="1" x14ac:dyDescent="0.2">
      <c r="C137" s="139"/>
    </row>
    <row r="138" spans="3:3" s="138" customFormat="1" x14ac:dyDescent="0.2">
      <c r="C138" s="139"/>
    </row>
    <row r="139" spans="3:3" s="138" customFormat="1" x14ac:dyDescent="0.2">
      <c r="C139" s="139"/>
    </row>
    <row r="140" spans="3:3" s="138" customFormat="1" x14ac:dyDescent="0.2">
      <c r="C140" s="139"/>
    </row>
    <row r="141" spans="3:3" s="138" customFormat="1" x14ac:dyDescent="0.2">
      <c r="C141" s="139"/>
    </row>
    <row r="142" spans="3:3" s="138" customFormat="1" x14ac:dyDescent="0.2">
      <c r="C142" s="139"/>
    </row>
    <row r="143" spans="3:3" s="138" customFormat="1" x14ac:dyDescent="0.2">
      <c r="C143" s="139"/>
    </row>
    <row r="144" spans="3:3" s="138" customFormat="1" x14ac:dyDescent="0.2">
      <c r="C144" s="139"/>
    </row>
    <row r="145" spans="3:3" s="138" customFormat="1" x14ac:dyDescent="0.2">
      <c r="C145" s="139"/>
    </row>
    <row r="146" spans="3:3" s="138" customFormat="1" x14ac:dyDescent="0.2">
      <c r="C146" s="139"/>
    </row>
    <row r="147" spans="3:3" s="138" customFormat="1" x14ac:dyDescent="0.2">
      <c r="C147" s="139"/>
    </row>
    <row r="148" spans="3:3" s="138" customFormat="1" x14ac:dyDescent="0.2">
      <c r="C148" s="139"/>
    </row>
    <row r="149" spans="3:3" s="138" customFormat="1" x14ac:dyDescent="0.2">
      <c r="C149" s="139"/>
    </row>
    <row r="150" spans="3:3" s="138" customFormat="1" x14ac:dyDescent="0.2">
      <c r="C150" s="139"/>
    </row>
    <row r="151" spans="3:3" s="138" customFormat="1" x14ac:dyDescent="0.2">
      <c r="C151" s="139"/>
    </row>
    <row r="152" spans="3:3" s="138" customFormat="1" x14ac:dyDescent="0.2">
      <c r="C152" s="139"/>
    </row>
    <row r="153" spans="3:3" s="138" customFormat="1" x14ac:dyDescent="0.2">
      <c r="C153" s="139"/>
    </row>
    <row r="154" spans="3:3" s="138" customFormat="1" x14ac:dyDescent="0.2">
      <c r="C154" s="139"/>
    </row>
    <row r="155" spans="3:3" s="138" customFormat="1" x14ac:dyDescent="0.2">
      <c r="C155" s="139"/>
    </row>
    <row r="156" spans="3:3" s="138" customFormat="1" x14ac:dyDescent="0.2">
      <c r="C156" s="139"/>
    </row>
    <row r="157" spans="3:3" s="138" customFormat="1" x14ac:dyDescent="0.2">
      <c r="C157" s="139"/>
    </row>
    <row r="158" spans="3:3" s="138" customFormat="1" x14ac:dyDescent="0.2">
      <c r="C158" s="139"/>
    </row>
    <row r="159" spans="3:3" s="138" customFormat="1" x14ac:dyDescent="0.2">
      <c r="C159" s="139"/>
    </row>
    <row r="160" spans="3:3" s="138" customFormat="1" x14ac:dyDescent="0.2">
      <c r="C160" s="139"/>
    </row>
  </sheetData>
  <protectedRanges>
    <protectedRange algorithmName="SHA-512" hashValue="DEhtgLWWX1fGTfY6/jrV83UQn2eRyEcf52ixXqwJG1h9snypFLTtsrlTn4v+3Jfc8qsPtJTcbYO5FAd7DzT8Lw==" saltValue="QsONzCYV9PF/Cm9GQzUNrg==" spinCount="100000" sqref="G5 J4 M4 B2:C4 E5 F7:F20 D7:D20" name="Rango1"/>
  </protectedRanges>
  <mergeCells count="1">
    <mergeCell ref="D2:O3"/>
  </mergeCells>
  <conditionalFormatting sqref="D7:E20">
    <cfRule type="containsText" dxfId="41" priority="5" operator="containsText" text="Extremo">
      <formula>NOT(ISERROR(SEARCH("Extremo",D7)))</formula>
    </cfRule>
    <cfRule type="containsText" dxfId="40" priority="6" operator="containsText" text="Muy Bajo">
      <formula>NOT(ISERROR(SEARCH("Muy Bajo",D7)))</formula>
    </cfRule>
    <cfRule type="containsText" dxfId="39" priority="7" operator="containsText" text="Bajo">
      <formula>NOT(ISERROR(SEARCH("Bajo",D7)))</formula>
    </cfRule>
    <cfRule type="containsText" dxfId="38" priority="8" operator="containsText" text="Moderado">
      <formula>NOT(ISERROR(SEARCH("Moderado",D7)))</formula>
    </cfRule>
    <cfRule type="containsText" dxfId="37" priority="9" operator="containsText" text="Alto">
      <formula>NOT(ISERROR(SEARCH("Alto",D7)))</formula>
    </cfRule>
    <cfRule type="containsText" dxfId="36" priority="10" operator="containsText" text="Muy Alto">
      <formula>NOT(ISERROR(SEARCH("Muy Alto",D7)))</formula>
    </cfRule>
  </conditionalFormatting>
  <conditionalFormatting sqref="H7:I20">
    <cfRule type="expression" dxfId="35" priority="1">
      <formula>$H7&gt;=4</formula>
    </cfRule>
    <cfRule type="expression" dxfId="34" priority="2">
      <formula>$H7&gt;=3</formula>
    </cfRule>
    <cfRule type="expression" dxfId="33" priority="3">
      <formula>$H7&gt;=2</formula>
    </cfRule>
    <cfRule type="expression" dxfId="32" priority="4">
      <formula>$H7&lt;2</formula>
    </cfRule>
  </conditionalFormatting>
  <dataValidations count="17">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M6" xr:uid="{67E117A6-6A2C-D24F-AB4D-C9C018B91D22}"/>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L6" xr:uid="{00BCD005-C3DC-4541-8F59-20C783D51184}"/>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K6" xr:uid="{33759D99-B402-1546-8C05-D29F50037B8B}"/>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N6" xr:uid="{9FEE4FB1-1E48-244C-9C43-CE8C1C34457A}"/>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J6" xr:uid="{3AA2BFB6-5508-B749-80B8-47A276EAC388}"/>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I6" xr:uid="{252D74D7-5012-B943-A9CB-1E5603BFBDB5}"/>
    <dataValidation allowBlank="1" showInputMessage="1" showErrorMessage="1" promptTitle="PONDERACION" prompt="FAVOR NO DILIGENCIAR ESTA COLUMNA._x000a_Acá aparecerá automáticamente el puntaje consolidado para el nivel de criticidad de cada aspecto evaluable." sqref="H6" xr:uid="{A33DC2F7-795E-2946-97D9-C3ACFD134687}"/>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F6" xr:uid="{3E78F17B-3AC2-AB4A-B40E-6CE5A63C5D83}"/>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G6" xr:uid="{AB0134CC-D2D0-0641-9633-CFAA98FBC4F0}"/>
    <dataValidation allowBlank="1" showInputMessage="1" showErrorMessage="1" promptTitle="CALIFICACION TIEMPO ULTIMA AUDIT" prompt="FAVOR NO DILIGENCIAR ESTA COLUMNA. Esta calificación aparecerá automáticamente con base en la hoja &quot;parámetros&quot; establecidos." sqref="E6" xr:uid="{1BE7950D-875E-3943-9F77-B733ADBBD6C2}"/>
    <dataValidation allowBlank="1" showInputMessage="1" showErrorMessage="1" promptTitle="TIEMPO EN AÑOS" prompt="Seleccione de la lista desplegable los años transcurridos desde la última auditoría o en caso que nunca se haya auditado seleccione &gt;4años." sqref="D6" xr:uid="{364E1CAB-9A56-5D42-B3EA-BF987E611E51}"/>
    <dataValidation type="decimal" allowBlank="1" showInputMessage="1" showErrorMessage="1" promptTitle="PORCENTAJE VARIABLE" prompt="Puede cambiar este porcentaje, siempre y cuando la suma de los porcentajes de las 6 variables sumen 100%, y de acuerdo con la dinámica y complejidad de la entidad." sqref="G5 E5" xr:uid="{91C1185A-149C-DE40-B8B3-96859D31FA82}">
      <formula1>0</formula1>
      <formula2>1</formula2>
    </dataValidation>
    <dataValidation allowBlank="1" showInputMessage="1" showErrorMessage="1" promptTitle="FECHA APROBACION" prompt="Registre la fecha de aprobación del Universo de Auditoría Basado en Riesgos, por parte del Comité de Control Interno o Comité de Auditoría." sqref="H4" xr:uid="{471C9FEA-7723-1042-81F5-E3684CAA5C2E}"/>
    <dataValidation allowBlank="1" showInputMessage="1" showErrorMessage="1" promptTitle="LOGO Y NOBRE ENTIDAD" prompt="En este espacio inserte el logo de la entidad o escriba el nombre de la misma." sqref="C2" xr:uid="{D8F583F4-E2DA-8D4B-A5E9-3842FB3A3DC9}"/>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F9799511-BBE0-8C4C-87B0-0B38726B4FEC}"/>
    <dataValidation type="list" allowBlank="1" showInputMessage="1" showErrorMessage="1" sqref="D7:D20" xr:uid="{72E0538E-2C8E-8348-BCAD-3BC1EE704F89}">
      <formula1>Tiempo_Ult_Aud_Def</formula1>
    </dataValidation>
    <dataValidation type="list" allowBlank="1" showInputMessage="1" showErrorMessage="1" sqref="F7:F20" xr:uid="{58491083-21C0-9341-92BD-E8FEDB459827}">
      <formula1>Impacto_Ppto_Def</formula1>
    </dataValidation>
  </dataValidations>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12AF-6A4F-734C-A0A7-AF3219711609}">
  <dimension ref="A1:O149"/>
  <sheetViews>
    <sheetView showGridLines="0" zoomScale="70" zoomScaleNormal="70" zoomScalePageLayoutView="125" workbookViewId="0">
      <selection activeCell="D2" sqref="D2:O3"/>
    </sheetView>
  </sheetViews>
  <sheetFormatPr baseColWidth="10" defaultColWidth="9.140625" defaultRowHeight="12.75" x14ac:dyDescent="0.2"/>
  <cols>
    <col min="1" max="1" width="2.42578125" style="142" customWidth="1"/>
    <col min="2" max="2" width="4.140625" style="142" customWidth="1"/>
    <col min="3" max="3" width="41.85546875" style="141" customWidth="1"/>
    <col min="4" max="4" width="15.140625" style="142" customWidth="1"/>
    <col min="5" max="5" width="16.85546875" style="142" customWidth="1"/>
    <col min="6" max="6" width="17.7109375" style="142" customWidth="1"/>
    <col min="7" max="7" width="18.42578125" style="142" customWidth="1"/>
    <col min="8" max="8" width="16.42578125" style="142" customWidth="1"/>
    <col min="9" max="9" width="15.42578125" style="142" customWidth="1"/>
    <col min="10" max="10" width="16.42578125" style="142" customWidth="1"/>
    <col min="11" max="11" width="24.140625" style="142" customWidth="1"/>
    <col min="12" max="12" width="24" style="142" customWidth="1"/>
    <col min="13" max="13" width="26.140625" style="142" customWidth="1"/>
    <col min="14" max="14" width="26.28515625" style="142" customWidth="1"/>
    <col min="15" max="15" width="4.140625" style="142" customWidth="1"/>
    <col min="16" max="16" width="3.42578125" style="142" customWidth="1"/>
    <col min="17" max="25" width="9.140625" style="142" customWidth="1"/>
    <col min="26" max="16384" width="9.140625" style="142"/>
  </cols>
  <sheetData>
    <row r="1" spans="1:15" s="88" customFormat="1" ht="13.5" thickBot="1" x14ac:dyDescent="0.25">
      <c r="C1" s="89"/>
    </row>
    <row r="2" spans="1:15" s="88" customFormat="1" ht="54.75" customHeight="1" x14ac:dyDescent="0.2">
      <c r="B2" s="168"/>
      <c r="C2" s="191"/>
      <c r="D2" s="252" t="s">
        <v>119</v>
      </c>
      <c r="E2" s="253"/>
      <c r="F2" s="253"/>
      <c r="G2" s="253"/>
      <c r="H2" s="253"/>
      <c r="I2" s="253"/>
      <c r="J2" s="253"/>
      <c r="K2" s="253"/>
      <c r="L2" s="253"/>
      <c r="M2" s="253"/>
      <c r="N2" s="253"/>
      <c r="O2" s="254"/>
    </row>
    <row r="3" spans="1:15" s="88" customFormat="1" ht="40.5" customHeight="1" thickBot="1" x14ac:dyDescent="0.25">
      <c r="B3" s="169"/>
      <c r="C3" s="192"/>
      <c r="D3" s="255"/>
      <c r="E3" s="256"/>
      <c r="F3" s="256"/>
      <c r="G3" s="256"/>
      <c r="H3" s="256"/>
      <c r="I3" s="256"/>
      <c r="J3" s="256"/>
      <c r="K3" s="256"/>
      <c r="L3" s="256"/>
      <c r="M3" s="256"/>
      <c r="N3" s="256"/>
      <c r="O3" s="257"/>
    </row>
    <row r="4" spans="1:15" s="88" customFormat="1" ht="24" customHeight="1" thickBot="1" x14ac:dyDescent="0.25">
      <c r="B4" s="170"/>
      <c r="C4" s="171"/>
      <c r="D4" s="193"/>
      <c r="E4" s="193"/>
      <c r="F4" s="193"/>
      <c r="G4" s="193"/>
      <c r="H4" s="194"/>
      <c r="I4" s="195"/>
      <c r="J4" s="195"/>
      <c r="K4" s="195" t="s">
        <v>125</v>
      </c>
      <c r="L4" s="196"/>
      <c r="M4" s="195" t="s">
        <v>126</v>
      </c>
      <c r="N4" s="198"/>
      <c r="O4" s="197"/>
    </row>
    <row r="5" spans="1:15" s="97" customFormat="1" ht="15.75" customHeight="1" x14ac:dyDescent="0.25">
      <c r="B5" s="90"/>
      <c r="C5" s="91"/>
      <c r="D5" s="92"/>
      <c r="E5" s="93">
        <v>0.5</v>
      </c>
      <c r="F5" s="91"/>
      <c r="G5" s="93">
        <v>0.5</v>
      </c>
      <c r="H5" s="91"/>
      <c r="I5" s="91"/>
      <c r="J5" s="91"/>
      <c r="K5" s="91"/>
      <c r="L5" s="91"/>
      <c r="M5" s="91"/>
      <c r="N5" s="91"/>
      <c r="O5" s="96"/>
    </row>
    <row r="6" spans="1:15" s="97" customFormat="1" ht="126.75" customHeight="1" thickBot="1" x14ac:dyDescent="0.3">
      <c r="B6" s="90"/>
      <c r="C6" s="184" t="s">
        <v>128</v>
      </c>
      <c r="D6" s="185" t="s">
        <v>131</v>
      </c>
      <c r="E6" s="185" t="s">
        <v>132</v>
      </c>
      <c r="F6" s="185" t="s">
        <v>139</v>
      </c>
      <c r="G6" s="185" t="s">
        <v>140</v>
      </c>
      <c r="H6" s="185" t="s">
        <v>141</v>
      </c>
      <c r="I6" s="185" t="s">
        <v>23</v>
      </c>
      <c r="J6" s="185" t="s">
        <v>142</v>
      </c>
      <c r="K6" s="185" t="s">
        <v>143</v>
      </c>
      <c r="L6" s="185" t="s">
        <v>144</v>
      </c>
      <c r="M6" s="185" t="s">
        <v>145</v>
      </c>
      <c r="N6" s="185" t="s">
        <v>146</v>
      </c>
      <c r="O6" s="96"/>
    </row>
    <row r="7" spans="1:15" s="123" customFormat="1" ht="51.75" customHeight="1" x14ac:dyDescent="0.25">
      <c r="B7" s="108"/>
      <c r="C7" s="150" t="s">
        <v>190</v>
      </c>
      <c r="D7" s="114" t="s">
        <v>42</v>
      </c>
      <c r="E7" s="115">
        <f>INDEX(Tiempo_Ult_Aud_Calif,MATCH('Priorización Patrimonio Aut'!D7,Tiempo_Ult_Aud_Def,0))</f>
        <v>3</v>
      </c>
      <c r="F7" s="116" t="s">
        <v>77</v>
      </c>
      <c r="G7" s="118">
        <f t="shared" ref="G7:G9" si="0">INDEX(Impacto_Ppto_Calif,MATCH(F7,Impacto_Ppto_Def,0))</f>
        <v>4</v>
      </c>
      <c r="H7" s="120">
        <f>$E$5*E7+$G$5*G7</f>
        <v>3.5</v>
      </c>
      <c r="I7" s="120" t="str">
        <f t="shared" ref="I7:I9" si="1">LOOKUP(H7,Nivel_Criticidad)</f>
        <v>Alto</v>
      </c>
      <c r="J7" s="118" t="str">
        <f t="shared" ref="J7:J9" si="2">INDEX(Ciclo_Rotación_Calif,MATCH(I7,Ciclo_Rotación_Def,0))</f>
        <v>Cada 2 años</v>
      </c>
      <c r="K7" s="121" t="str">
        <f>IF(J7="Cada año",C7,"")</f>
        <v/>
      </c>
      <c r="L7" s="121" t="str">
        <f>IF(OR(J7="Cada año",J7="Cada 2 años"),C7,"")</f>
        <v>Patrimonio Autónomo INNPULSA Colombia</v>
      </c>
      <c r="M7" s="121" t="str">
        <f>IF(OR(J7="Cada año",J7="Cada 3 años"),C7,"")</f>
        <v/>
      </c>
      <c r="N7" s="121" t="str">
        <f>IF(OR(J7="Cada año",J7="Cada 2 años",J7="Cada 4 años"),C7,"")</f>
        <v>Patrimonio Autónomo INNPULSA Colombia</v>
      </c>
      <c r="O7" s="122"/>
    </row>
    <row r="8" spans="1:15" s="123" customFormat="1" ht="25.5" x14ac:dyDescent="0.25">
      <c r="B8" s="108"/>
      <c r="C8" s="124" t="s">
        <v>191</v>
      </c>
      <c r="D8" s="114" t="s">
        <v>40</v>
      </c>
      <c r="E8" s="115">
        <f>INDEX(Tiempo_Ult_Aud_Calif,MATCH('Priorización Patrimonio Aut'!D8,Tiempo_Ult_Aud_Def,0))</f>
        <v>1</v>
      </c>
      <c r="F8" s="116" t="s">
        <v>76</v>
      </c>
      <c r="G8" s="118">
        <f t="shared" si="0"/>
        <v>5</v>
      </c>
      <c r="H8" s="120">
        <f>$E$5*E8+$G$5*G8</f>
        <v>3</v>
      </c>
      <c r="I8" s="120" t="str">
        <f t="shared" si="1"/>
        <v>Alto</v>
      </c>
      <c r="J8" s="118" t="str">
        <f t="shared" si="2"/>
        <v>Cada 2 años</v>
      </c>
      <c r="K8" s="121" t="str">
        <f>IF(J8="Cada año",C8,"")</f>
        <v/>
      </c>
      <c r="L8" s="121" t="str">
        <f>IF(OR(J8="Cada año",J8="Cada 2 años"),C8,"")</f>
        <v>Patrimonio Autónomo FONTUR</v>
      </c>
      <c r="M8" s="121" t="str">
        <f>IF(OR(J8="Cada año",J8="Cada 3 años"),C8,"")</f>
        <v/>
      </c>
      <c r="N8" s="121" t="str">
        <f>IF(OR(J8="Cada año",J8="Cada 2 años",J8="Cada 4 años"),C8,"")</f>
        <v>Patrimonio Autónomo FONTUR</v>
      </c>
      <c r="O8" s="122"/>
    </row>
    <row r="9" spans="1:15" s="123" customFormat="1" ht="25.5" x14ac:dyDescent="0.25">
      <c r="B9" s="108"/>
      <c r="C9" s="124" t="s">
        <v>192</v>
      </c>
      <c r="D9" s="114" t="s">
        <v>42</v>
      </c>
      <c r="E9" s="115">
        <f>INDEX(Tiempo_Ult_Aud_Calif,MATCH('Priorización Patrimonio Aut'!D9,Tiempo_Ult_Aud_Def,0))</f>
        <v>3</v>
      </c>
      <c r="F9" s="116" t="s">
        <v>77</v>
      </c>
      <c r="G9" s="118">
        <f t="shared" si="0"/>
        <v>4</v>
      </c>
      <c r="H9" s="120">
        <f>$E$5*E9+$G$5*G9</f>
        <v>3.5</v>
      </c>
      <c r="I9" s="120" t="str">
        <f t="shared" si="1"/>
        <v>Alto</v>
      </c>
      <c r="J9" s="118" t="str">
        <f t="shared" si="2"/>
        <v>Cada 2 años</v>
      </c>
      <c r="K9" s="121" t="str">
        <f>IF(J9="Cada año",C9,"")</f>
        <v/>
      </c>
      <c r="L9" s="121" t="str">
        <f>IF(OR(J9="Cada año",J9="Cada 2 años"),C9,"")</f>
        <v>Patrimonio Autónomo Procolombia</v>
      </c>
      <c r="M9" s="121" t="str">
        <f>IF(OR(J9="Cada año",J9="Cada 3 años"),C9,"")</f>
        <v/>
      </c>
      <c r="N9" s="121" t="str">
        <f>IF(OR(J9="Cada año",J9="Cada 2 años",J9="Cada 4 años"),C9,"")</f>
        <v>Patrimonio Autónomo Procolombia</v>
      </c>
      <c r="O9" s="122"/>
    </row>
    <row r="10" spans="1:15" s="138" customFormat="1" ht="13.5" thickBot="1" x14ac:dyDescent="0.25">
      <c r="B10" s="134"/>
      <c r="C10" s="135"/>
      <c r="D10" s="136"/>
      <c r="E10" s="136"/>
      <c r="F10" s="136"/>
      <c r="G10" s="136"/>
      <c r="H10" s="136"/>
      <c r="I10" s="136"/>
      <c r="J10" s="136"/>
      <c r="K10" s="136"/>
      <c r="L10" s="136"/>
      <c r="M10" s="136"/>
      <c r="N10" s="136"/>
      <c r="O10" s="137"/>
    </row>
    <row r="11" spans="1:15" s="138" customFormat="1" x14ac:dyDescent="0.2">
      <c r="C11" s="139"/>
    </row>
    <row r="12" spans="1:15" s="138" customFormat="1" x14ac:dyDescent="0.2">
      <c r="B12" s="140" t="s">
        <v>172</v>
      </c>
      <c r="C12" s="139"/>
    </row>
    <row r="13" spans="1:15" s="138" customFormat="1" x14ac:dyDescent="0.2">
      <c r="A13" s="180"/>
      <c r="B13" s="180"/>
      <c r="C13" s="179"/>
      <c r="D13" s="180"/>
      <c r="E13" s="180"/>
      <c r="F13" s="180"/>
    </row>
    <row r="14" spans="1:15" s="138" customFormat="1" x14ac:dyDescent="0.2">
      <c r="A14" s="180"/>
      <c r="B14" s="180"/>
      <c r="C14" s="179"/>
      <c r="D14" s="180"/>
      <c r="E14" s="180"/>
      <c r="F14" s="180"/>
    </row>
    <row r="15" spans="1:15" s="138" customFormat="1" ht="12.75" customHeight="1" x14ac:dyDescent="0.2">
      <c r="A15" s="180"/>
      <c r="B15" s="180"/>
      <c r="C15" s="179"/>
      <c r="D15" s="180"/>
      <c r="E15" s="180"/>
      <c r="F15" s="180"/>
    </row>
    <row r="16" spans="1:15" s="138" customFormat="1" x14ac:dyDescent="0.2">
      <c r="A16" s="180"/>
      <c r="B16" s="180"/>
      <c r="C16" s="179"/>
      <c r="D16" s="180"/>
      <c r="E16" s="180"/>
      <c r="F16" s="180"/>
    </row>
    <row r="17" spans="1:6" s="138" customFormat="1" x14ac:dyDescent="0.2">
      <c r="A17" s="180"/>
      <c r="B17" s="180"/>
      <c r="C17" s="179"/>
      <c r="D17" s="180"/>
      <c r="E17" s="180"/>
      <c r="F17" s="180"/>
    </row>
    <row r="18" spans="1:6" s="138" customFormat="1" x14ac:dyDescent="0.2">
      <c r="A18" s="180"/>
      <c r="B18" s="180"/>
      <c r="C18" s="179"/>
      <c r="D18" s="180"/>
      <c r="E18" s="180"/>
      <c r="F18" s="180"/>
    </row>
    <row r="19" spans="1:6" s="138" customFormat="1" x14ac:dyDescent="0.2">
      <c r="C19" s="139"/>
    </row>
    <row r="20" spans="1:6" s="138" customFormat="1" x14ac:dyDescent="0.2">
      <c r="C20" s="139"/>
    </row>
    <row r="21" spans="1:6" s="138" customFormat="1" x14ac:dyDescent="0.2">
      <c r="C21" s="139"/>
    </row>
    <row r="22" spans="1:6" s="138" customFormat="1" x14ac:dyDescent="0.2">
      <c r="C22" s="139"/>
    </row>
    <row r="23" spans="1:6" s="138" customFormat="1" x14ac:dyDescent="0.2">
      <c r="C23" s="139"/>
    </row>
    <row r="24" spans="1:6" s="138" customFormat="1" x14ac:dyDescent="0.2">
      <c r="C24" s="139"/>
    </row>
    <row r="25" spans="1:6" s="138" customFormat="1" x14ac:dyDescent="0.2">
      <c r="C25" s="139"/>
    </row>
    <row r="26" spans="1:6" s="138" customFormat="1" x14ac:dyDescent="0.2">
      <c r="C26" s="139"/>
    </row>
    <row r="27" spans="1:6" s="138" customFormat="1" x14ac:dyDescent="0.2">
      <c r="C27" s="139"/>
    </row>
    <row r="28" spans="1:6" s="138" customFormat="1" x14ac:dyDescent="0.2">
      <c r="C28" s="139"/>
    </row>
    <row r="29" spans="1:6" s="138" customFormat="1" x14ac:dyDescent="0.2">
      <c r="C29" s="139"/>
    </row>
    <row r="30" spans="1:6" s="138" customFormat="1" x14ac:dyDescent="0.2">
      <c r="C30" s="139"/>
    </row>
    <row r="31" spans="1:6" s="138" customFormat="1" x14ac:dyDescent="0.2">
      <c r="C31" s="139"/>
    </row>
    <row r="32" spans="1:6" s="138" customFormat="1" x14ac:dyDescent="0.2">
      <c r="C32" s="139"/>
    </row>
    <row r="33" spans="3:3" s="138" customFormat="1" x14ac:dyDescent="0.2">
      <c r="C33" s="139"/>
    </row>
    <row r="34" spans="3:3" s="138" customFormat="1" x14ac:dyDescent="0.2">
      <c r="C34" s="139"/>
    </row>
    <row r="35" spans="3:3" s="138" customFormat="1" x14ac:dyDescent="0.2">
      <c r="C35" s="139"/>
    </row>
    <row r="36" spans="3:3" s="138" customFormat="1" x14ac:dyDescent="0.2">
      <c r="C36" s="139"/>
    </row>
    <row r="37" spans="3:3" s="138" customFormat="1" x14ac:dyDescent="0.2">
      <c r="C37" s="139"/>
    </row>
    <row r="38" spans="3:3" s="138" customFormat="1" x14ac:dyDescent="0.2">
      <c r="C38" s="139"/>
    </row>
    <row r="39" spans="3:3" s="138" customFormat="1" x14ac:dyDescent="0.2">
      <c r="C39" s="139"/>
    </row>
    <row r="40" spans="3:3" s="138" customFormat="1" x14ac:dyDescent="0.2">
      <c r="C40" s="139"/>
    </row>
    <row r="41" spans="3:3" s="138" customFormat="1" x14ac:dyDescent="0.2">
      <c r="C41" s="139"/>
    </row>
    <row r="42" spans="3:3" s="138" customFormat="1" x14ac:dyDescent="0.2">
      <c r="C42" s="139"/>
    </row>
    <row r="43" spans="3:3" s="138" customFormat="1" x14ac:dyDescent="0.2">
      <c r="C43" s="139"/>
    </row>
    <row r="44" spans="3:3" s="138" customFormat="1" x14ac:dyDescent="0.2">
      <c r="C44" s="139"/>
    </row>
    <row r="45" spans="3:3" s="138" customFormat="1" x14ac:dyDescent="0.2">
      <c r="C45" s="139"/>
    </row>
    <row r="46" spans="3:3" s="138" customFormat="1" x14ac:dyDescent="0.2">
      <c r="C46" s="139"/>
    </row>
    <row r="47" spans="3:3" s="138" customFormat="1" x14ac:dyDescent="0.2">
      <c r="C47" s="139"/>
    </row>
    <row r="48" spans="3:3" s="138" customFormat="1" x14ac:dyDescent="0.2">
      <c r="C48" s="139"/>
    </row>
    <row r="49" spans="3:3" s="138" customFormat="1" x14ac:dyDescent="0.2">
      <c r="C49" s="139"/>
    </row>
    <row r="50" spans="3:3" s="138" customFormat="1" x14ac:dyDescent="0.2">
      <c r="C50" s="139"/>
    </row>
    <row r="51" spans="3:3" s="138" customFormat="1" x14ac:dyDescent="0.2">
      <c r="C51" s="139"/>
    </row>
    <row r="52" spans="3:3" s="138" customFormat="1" x14ac:dyDescent="0.2">
      <c r="C52" s="139"/>
    </row>
    <row r="53" spans="3:3" s="138" customFormat="1" x14ac:dyDescent="0.2">
      <c r="C53" s="139"/>
    </row>
    <row r="54" spans="3:3" s="138" customFormat="1" x14ac:dyDescent="0.2">
      <c r="C54" s="139"/>
    </row>
    <row r="55" spans="3:3" s="138" customFormat="1" x14ac:dyDescent="0.2">
      <c r="C55" s="139"/>
    </row>
    <row r="56" spans="3:3" s="138" customFormat="1" x14ac:dyDescent="0.2">
      <c r="C56" s="139"/>
    </row>
    <row r="57" spans="3:3" s="138" customFormat="1" x14ac:dyDescent="0.2">
      <c r="C57" s="139"/>
    </row>
    <row r="58" spans="3:3" s="138" customFormat="1" x14ac:dyDescent="0.2">
      <c r="C58" s="139"/>
    </row>
    <row r="59" spans="3:3" s="138" customFormat="1" x14ac:dyDescent="0.2">
      <c r="C59" s="139"/>
    </row>
    <row r="60" spans="3:3" s="138" customFormat="1" x14ac:dyDescent="0.2">
      <c r="C60" s="139"/>
    </row>
    <row r="61" spans="3:3" s="138" customFormat="1" x14ac:dyDescent="0.2">
      <c r="C61" s="139"/>
    </row>
    <row r="62" spans="3:3" s="138" customFormat="1" x14ac:dyDescent="0.2">
      <c r="C62" s="139"/>
    </row>
    <row r="63" spans="3:3" s="138" customFormat="1" x14ac:dyDescent="0.2">
      <c r="C63" s="139"/>
    </row>
    <row r="64" spans="3:3" s="138" customFormat="1" x14ac:dyDescent="0.2">
      <c r="C64" s="139"/>
    </row>
    <row r="65" spans="3:3" s="138" customFormat="1" x14ac:dyDescent="0.2">
      <c r="C65" s="139"/>
    </row>
    <row r="66" spans="3:3" s="138" customFormat="1" x14ac:dyDescent="0.2">
      <c r="C66" s="139"/>
    </row>
    <row r="67" spans="3:3" s="138" customFormat="1" x14ac:dyDescent="0.2">
      <c r="C67" s="139"/>
    </row>
    <row r="68" spans="3:3" s="138" customFormat="1" x14ac:dyDescent="0.2">
      <c r="C68" s="139"/>
    </row>
    <row r="69" spans="3:3" s="138" customFormat="1" x14ac:dyDescent="0.2">
      <c r="C69" s="139"/>
    </row>
    <row r="70" spans="3:3" s="138" customFormat="1" x14ac:dyDescent="0.2">
      <c r="C70" s="139"/>
    </row>
    <row r="71" spans="3:3" s="138" customFormat="1" x14ac:dyDescent="0.2">
      <c r="C71" s="139"/>
    </row>
    <row r="72" spans="3:3" s="138" customFormat="1" x14ac:dyDescent="0.2">
      <c r="C72" s="139"/>
    </row>
    <row r="73" spans="3:3" s="138" customFormat="1" x14ac:dyDescent="0.2">
      <c r="C73" s="139"/>
    </row>
    <row r="74" spans="3:3" s="138" customFormat="1" x14ac:dyDescent="0.2">
      <c r="C74" s="139"/>
    </row>
    <row r="75" spans="3:3" s="138" customFormat="1" x14ac:dyDescent="0.2">
      <c r="C75" s="139"/>
    </row>
    <row r="76" spans="3:3" s="138" customFormat="1" x14ac:dyDescent="0.2">
      <c r="C76" s="139"/>
    </row>
    <row r="77" spans="3:3" s="138" customFormat="1" x14ac:dyDescent="0.2">
      <c r="C77" s="139"/>
    </row>
    <row r="78" spans="3:3" s="138" customFormat="1" x14ac:dyDescent="0.2">
      <c r="C78" s="139"/>
    </row>
    <row r="79" spans="3:3" s="138" customFormat="1" x14ac:dyDescent="0.2">
      <c r="C79" s="139"/>
    </row>
    <row r="80" spans="3:3" s="138" customFormat="1" x14ac:dyDescent="0.2">
      <c r="C80" s="139"/>
    </row>
    <row r="81" spans="3:3" s="138" customFormat="1" x14ac:dyDescent="0.2">
      <c r="C81" s="139"/>
    </row>
    <row r="82" spans="3:3" s="138" customFormat="1" x14ac:dyDescent="0.2">
      <c r="C82" s="139"/>
    </row>
    <row r="83" spans="3:3" s="138" customFormat="1" x14ac:dyDescent="0.2">
      <c r="C83" s="139"/>
    </row>
    <row r="84" spans="3:3" s="138" customFormat="1" x14ac:dyDescent="0.2">
      <c r="C84" s="139"/>
    </row>
    <row r="85" spans="3:3" s="138" customFormat="1" x14ac:dyDescent="0.2">
      <c r="C85" s="139"/>
    </row>
    <row r="86" spans="3:3" s="138" customFormat="1" x14ac:dyDescent="0.2">
      <c r="C86" s="139"/>
    </row>
    <row r="87" spans="3:3" s="138" customFormat="1" x14ac:dyDescent="0.2">
      <c r="C87" s="139"/>
    </row>
    <row r="88" spans="3:3" s="138" customFormat="1" x14ac:dyDescent="0.2">
      <c r="C88" s="139"/>
    </row>
    <row r="89" spans="3:3" s="138" customFormat="1" x14ac:dyDescent="0.2">
      <c r="C89" s="139"/>
    </row>
    <row r="90" spans="3:3" s="138" customFormat="1" x14ac:dyDescent="0.2">
      <c r="C90" s="139"/>
    </row>
    <row r="91" spans="3:3" s="138" customFormat="1" x14ac:dyDescent="0.2">
      <c r="C91" s="139"/>
    </row>
    <row r="92" spans="3:3" s="138" customFormat="1" x14ac:dyDescent="0.2">
      <c r="C92" s="139"/>
    </row>
    <row r="93" spans="3:3" s="138" customFormat="1" x14ac:dyDescent="0.2">
      <c r="C93" s="139"/>
    </row>
    <row r="94" spans="3:3" s="138" customFormat="1" x14ac:dyDescent="0.2">
      <c r="C94" s="139"/>
    </row>
    <row r="95" spans="3:3" s="138" customFormat="1" x14ac:dyDescent="0.2">
      <c r="C95" s="139"/>
    </row>
    <row r="96" spans="3:3" s="138" customFormat="1" x14ac:dyDescent="0.2">
      <c r="C96" s="139"/>
    </row>
    <row r="97" spans="3:3" s="138" customFormat="1" x14ac:dyDescent="0.2">
      <c r="C97" s="139"/>
    </row>
    <row r="98" spans="3:3" s="138" customFormat="1" x14ac:dyDescent="0.2">
      <c r="C98" s="139"/>
    </row>
    <row r="99" spans="3:3" s="138" customFormat="1" x14ac:dyDescent="0.2">
      <c r="C99" s="139"/>
    </row>
    <row r="100" spans="3:3" s="138" customFormat="1" x14ac:dyDescent="0.2">
      <c r="C100" s="139"/>
    </row>
    <row r="101" spans="3:3" s="138" customFormat="1" x14ac:dyDescent="0.2">
      <c r="C101" s="139"/>
    </row>
    <row r="102" spans="3:3" s="138" customFormat="1" x14ac:dyDescent="0.2">
      <c r="C102" s="139"/>
    </row>
    <row r="103" spans="3:3" s="138" customFormat="1" x14ac:dyDescent="0.2">
      <c r="C103" s="139"/>
    </row>
    <row r="104" spans="3:3" s="138" customFormat="1" x14ac:dyDescent="0.2">
      <c r="C104" s="139"/>
    </row>
    <row r="105" spans="3:3" s="138" customFormat="1" x14ac:dyDescent="0.2">
      <c r="C105" s="139"/>
    </row>
    <row r="106" spans="3:3" s="138" customFormat="1" x14ac:dyDescent="0.2">
      <c r="C106" s="139"/>
    </row>
    <row r="107" spans="3:3" s="138" customFormat="1" x14ac:dyDescent="0.2">
      <c r="C107" s="139"/>
    </row>
    <row r="108" spans="3:3" s="138" customFormat="1" x14ac:dyDescent="0.2">
      <c r="C108" s="139"/>
    </row>
    <row r="109" spans="3:3" s="138" customFormat="1" x14ac:dyDescent="0.2">
      <c r="C109" s="139"/>
    </row>
    <row r="110" spans="3:3" s="138" customFormat="1" x14ac:dyDescent="0.2">
      <c r="C110" s="139"/>
    </row>
    <row r="111" spans="3:3" s="138" customFormat="1" x14ac:dyDescent="0.2">
      <c r="C111" s="139"/>
    </row>
    <row r="112" spans="3:3" s="138" customFormat="1" x14ac:dyDescent="0.2">
      <c r="C112" s="139"/>
    </row>
    <row r="113" spans="3:3" s="138" customFormat="1" x14ac:dyDescent="0.2">
      <c r="C113" s="139"/>
    </row>
    <row r="114" spans="3:3" s="138" customFormat="1" x14ac:dyDescent="0.2">
      <c r="C114" s="139"/>
    </row>
    <row r="115" spans="3:3" s="138" customFormat="1" x14ac:dyDescent="0.2">
      <c r="C115" s="139"/>
    </row>
    <row r="116" spans="3:3" s="138" customFormat="1" x14ac:dyDescent="0.2">
      <c r="C116" s="139"/>
    </row>
    <row r="117" spans="3:3" s="138" customFormat="1" x14ac:dyDescent="0.2">
      <c r="C117" s="139"/>
    </row>
    <row r="118" spans="3:3" s="138" customFormat="1" x14ac:dyDescent="0.2">
      <c r="C118" s="139"/>
    </row>
    <row r="119" spans="3:3" s="138" customFormat="1" x14ac:dyDescent="0.2">
      <c r="C119" s="139"/>
    </row>
    <row r="120" spans="3:3" s="138" customFormat="1" x14ac:dyDescent="0.2">
      <c r="C120" s="139"/>
    </row>
    <row r="121" spans="3:3" s="138" customFormat="1" x14ac:dyDescent="0.2">
      <c r="C121" s="139"/>
    </row>
    <row r="122" spans="3:3" s="138" customFormat="1" x14ac:dyDescent="0.2">
      <c r="C122" s="139"/>
    </row>
    <row r="123" spans="3:3" s="138" customFormat="1" x14ac:dyDescent="0.2">
      <c r="C123" s="139"/>
    </row>
    <row r="124" spans="3:3" s="138" customFormat="1" x14ac:dyDescent="0.2">
      <c r="C124" s="139"/>
    </row>
    <row r="125" spans="3:3" s="138" customFormat="1" x14ac:dyDescent="0.2">
      <c r="C125" s="139"/>
    </row>
    <row r="126" spans="3:3" s="138" customFormat="1" x14ac:dyDescent="0.2">
      <c r="C126" s="139"/>
    </row>
    <row r="127" spans="3:3" s="138" customFormat="1" x14ac:dyDescent="0.2">
      <c r="C127" s="139"/>
    </row>
    <row r="128" spans="3:3" s="138" customFormat="1" x14ac:dyDescent="0.2">
      <c r="C128" s="139"/>
    </row>
    <row r="129" spans="3:3" s="138" customFormat="1" x14ac:dyDescent="0.2">
      <c r="C129" s="139"/>
    </row>
    <row r="130" spans="3:3" s="138" customFormat="1" x14ac:dyDescent="0.2">
      <c r="C130" s="139"/>
    </row>
    <row r="131" spans="3:3" s="138" customFormat="1" x14ac:dyDescent="0.2">
      <c r="C131" s="139"/>
    </row>
    <row r="132" spans="3:3" s="138" customFormat="1" x14ac:dyDescent="0.2">
      <c r="C132" s="139"/>
    </row>
    <row r="133" spans="3:3" s="138" customFormat="1" x14ac:dyDescent="0.2">
      <c r="C133" s="139"/>
    </row>
    <row r="134" spans="3:3" s="138" customFormat="1" x14ac:dyDescent="0.2">
      <c r="C134" s="139"/>
    </row>
    <row r="135" spans="3:3" s="138" customFormat="1" x14ac:dyDescent="0.2">
      <c r="C135" s="139"/>
    </row>
    <row r="136" spans="3:3" s="138" customFormat="1" x14ac:dyDescent="0.2">
      <c r="C136" s="139"/>
    </row>
    <row r="137" spans="3:3" s="138" customFormat="1" x14ac:dyDescent="0.2">
      <c r="C137" s="139"/>
    </row>
    <row r="138" spans="3:3" s="138" customFormat="1" x14ac:dyDescent="0.2">
      <c r="C138" s="139"/>
    </row>
    <row r="139" spans="3:3" s="138" customFormat="1" x14ac:dyDescent="0.2">
      <c r="C139" s="139"/>
    </row>
    <row r="140" spans="3:3" s="138" customFormat="1" x14ac:dyDescent="0.2">
      <c r="C140" s="139"/>
    </row>
    <row r="141" spans="3:3" s="138" customFormat="1" x14ac:dyDescent="0.2">
      <c r="C141" s="139"/>
    </row>
    <row r="142" spans="3:3" s="138" customFormat="1" x14ac:dyDescent="0.2">
      <c r="C142" s="139"/>
    </row>
    <row r="143" spans="3:3" s="138" customFormat="1" x14ac:dyDescent="0.2">
      <c r="C143" s="139"/>
    </row>
    <row r="144" spans="3:3" s="138" customFormat="1" x14ac:dyDescent="0.2">
      <c r="C144" s="139"/>
    </row>
    <row r="145" spans="3:3" s="138" customFormat="1" x14ac:dyDescent="0.2">
      <c r="C145" s="139"/>
    </row>
    <row r="146" spans="3:3" s="138" customFormat="1" x14ac:dyDescent="0.2">
      <c r="C146" s="139"/>
    </row>
    <row r="147" spans="3:3" s="138" customFormat="1" x14ac:dyDescent="0.2">
      <c r="C147" s="139"/>
    </row>
    <row r="148" spans="3:3" s="138" customFormat="1" x14ac:dyDescent="0.2">
      <c r="C148" s="139"/>
    </row>
    <row r="149" spans="3:3" s="138" customFormat="1" x14ac:dyDescent="0.2">
      <c r="C149" s="139"/>
    </row>
  </sheetData>
  <protectedRanges>
    <protectedRange algorithmName="SHA-512" hashValue="DEhtgLWWX1fGTfY6/jrV83UQn2eRyEcf52ixXqwJG1h9snypFLTtsrlTn4v+3Jfc8qsPtJTcbYO5FAd7DzT8Lw==" saltValue="QsONzCYV9PF/Cm9GQzUNrg==" spinCount="100000" sqref="E5 G5 C7:D9 F7:F9" name="Rango1"/>
    <protectedRange algorithmName="SHA-512" hashValue="DEhtgLWWX1fGTfY6/jrV83UQn2eRyEcf52ixXqwJG1h9snypFLTtsrlTn4v+3Jfc8qsPtJTcbYO5FAd7DzT8Lw==" saltValue="QsONzCYV9PF/Cm9GQzUNrg==" spinCount="100000" sqref="J4 M4 B2:C4" name="Rango1_2"/>
  </protectedRanges>
  <mergeCells count="1">
    <mergeCell ref="D2:O3"/>
  </mergeCells>
  <conditionalFormatting sqref="D7:E9">
    <cfRule type="containsText" dxfId="31" priority="5" operator="containsText" text="Extremo">
      <formula>NOT(ISERROR(SEARCH("Extremo",D7)))</formula>
    </cfRule>
    <cfRule type="containsText" dxfId="30" priority="6" operator="containsText" text="Muy Bajo">
      <formula>NOT(ISERROR(SEARCH("Muy Bajo",D7)))</formula>
    </cfRule>
    <cfRule type="containsText" dxfId="29" priority="7" operator="containsText" text="Bajo">
      <formula>NOT(ISERROR(SEARCH("Bajo",D7)))</formula>
    </cfRule>
    <cfRule type="containsText" dxfId="28" priority="8" operator="containsText" text="Moderado">
      <formula>NOT(ISERROR(SEARCH("Moderado",D7)))</formula>
    </cfRule>
    <cfRule type="containsText" dxfId="27" priority="9" operator="containsText" text="Alto">
      <formula>NOT(ISERROR(SEARCH("Alto",D7)))</formula>
    </cfRule>
    <cfRule type="containsText" dxfId="26" priority="10" operator="containsText" text="Muy Alto">
      <formula>NOT(ISERROR(SEARCH("Muy Alto",D7)))</formula>
    </cfRule>
  </conditionalFormatting>
  <conditionalFormatting sqref="H7:I9">
    <cfRule type="expression" dxfId="25" priority="1">
      <formula>$H7&gt;=4</formula>
    </cfRule>
    <cfRule type="expression" dxfId="24" priority="2">
      <formula>$H7&gt;=3</formula>
    </cfRule>
    <cfRule type="expression" dxfId="23" priority="3">
      <formula>$H7&gt;=2</formula>
    </cfRule>
    <cfRule type="expression" dxfId="22" priority="4">
      <formula>$H7&lt;2</formula>
    </cfRule>
  </conditionalFormatting>
  <dataValidations count="17">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9A022018-92A1-0946-9951-A783320FAF92}"/>
    <dataValidation allowBlank="1" showInputMessage="1" showErrorMessage="1" promptTitle="LOGO Y NOBRE ENTIDAD" prompt="En este espacio inserte el logo de la entidad o escriba el nombre de la misma." sqref="C2" xr:uid="{E58AF8D2-5D1F-4D2C-A964-E2DF3C5A8609}"/>
    <dataValidation allowBlank="1" showInputMessage="1" showErrorMessage="1" promptTitle="FECHA APROBACION" prompt="Registre la fecha de aprobación del Universo de Auditoría Basado en Riesgos, por parte del Comité de Control Interno o Comité de Auditoría." sqref="H4" xr:uid="{0A7A684C-9498-426A-865F-4BFDA3CA710C}"/>
    <dataValidation type="decimal" allowBlank="1" showInputMessage="1" showErrorMessage="1" promptTitle="PORCENTAJE VARIABLE" prompt="Puede cambiar este porcentaje, siempre y cuando la suma de los porcentajes de las 6 variables sumen 100%, y de acuerdo con la dinámica y complejidad de la entidad." sqref="G5 E5" xr:uid="{55D54548-0036-5441-95D6-E4C0F38C9578}">
      <formula1>0</formula1>
      <formula2>1</formula2>
    </dataValidation>
    <dataValidation allowBlank="1" showInputMessage="1" showErrorMessage="1" promptTitle="TIEMPO EN AÑOS" prompt="Seleccione de la lista desplegable los años transcurridos desde la última auditoría o en caso que nunca se haya auditado seleccione &gt;4años." sqref="D6" xr:uid="{1274114F-1689-7F49-80C3-1B980BE3C46D}"/>
    <dataValidation allowBlank="1" showInputMessage="1" showErrorMessage="1" promptTitle="CALIFICACION TIEMPO ULTIMA AUDIT" prompt="FAVOR NO DILIGENCIAR ESTA COLUMNA. Esta calificación aparecerá automáticamente con base en la hoja &quot;parámetros&quot; establecidos." sqref="E6" xr:uid="{2E372D22-48F7-4847-BEFC-EF549DBD9CB6}"/>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G6" xr:uid="{30277E15-422A-3B4B-9DDD-D9A31D33B0A9}"/>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F6" xr:uid="{E3DB982D-4F7C-3141-9DA6-00EA1ABF6EF3}"/>
    <dataValidation allowBlank="1" showInputMessage="1" showErrorMessage="1" promptTitle="PONDERACION" prompt="FAVOR NO DILIGENCIAR ESTA COLUMNA._x000a_Acá aparecerá automáticamente el puntaje consolidado para el nivel de criticidad de cada aspecto evaluable." sqref="H6" xr:uid="{F3F63A44-DDD8-BE47-833B-55A20D20201C}"/>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I6" xr:uid="{AF91D2B2-ED86-7F40-8220-7EF8D476CBFF}"/>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J6" xr:uid="{6880670C-195F-BA41-B03E-0D38EB332E36}"/>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N6" xr:uid="{64D6EB77-EE82-4C4E-B5BA-55B7C1694879}"/>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K6" xr:uid="{3DE39CA5-0A9B-2F41-A51F-5074D78897B9}"/>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L6" xr:uid="{6C692AF7-8CF2-7B49-B9CE-BEC6079B9EBE}"/>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M6" xr:uid="{2AEB4E91-78CE-1F47-8379-8EC511291D1F}"/>
    <dataValidation type="list" allowBlank="1" showInputMessage="1" showErrorMessage="1" sqref="F7:F9" xr:uid="{0A433A7A-6D1F-3448-8F1F-E16F78CB561D}">
      <formula1>Impacto_Ppto_Def</formula1>
    </dataValidation>
    <dataValidation type="list" allowBlank="1" showInputMessage="1" showErrorMessage="1" sqref="D7:D9" xr:uid="{970164A6-ACEC-A542-9669-A069C5AAE67B}">
      <formula1>Tiempo_Ult_Aud_Def</formula1>
    </dataValidation>
  </dataValidations>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FA07-6A09-42D2-963C-78340A85D45E}">
  <dimension ref="B1:Q184"/>
  <sheetViews>
    <sheetView showGridLines="0" zoomScale="70" zoomScaleNormal="70" zoomScalePageLayoutView="125" workbookViewId="0">
      <selection activeCell="D2" sqref="D2:Q3"/>
    </sheetView>
  </sheetViews>
  <sheetFormatPr baseColWidth="10" defaultColWidth="9.140625" defaultRowHeight="12.75" x14ac:dyDescent="0.2"/>
  <cols>
    <col min="1" max="1" width="2.42578125" style="142" customWidth="1"/>
    <col min="2" max="2" width="4.140625" style="142" customWidth="1"/>
    <col min="3" max="3" width="41.85546875" style="141" customWidth="1"/>
    <col min="4" max="4" width="20.140625" style="142" customWidth="1"/>
    <col min="5" max="5" width="16.85546875" style="142" customWidth="1"/>
    <col min="6" max="6" width="19.42578125" style="142" customWidth="1"/>
    <col min="7" max="7" width="19.7109375" style="142" customWidth="1"/>
    <col min="8" max="9" width="17.85546875" style="142" customWidth="1"/>
    <col min="10" max="10" width="16.140625" style="142" customWidth="1"/>
    <col min="11" max="11" width="15.42578125" style="142" customWidth="1"/>
    <col min="12" max="12" width="16.42578125" style="142" customWidth="1"/>
    <col min="13" max="13" width="24.140625" style="142" customWidth="1"/>
    <col min="14" max="14" width="24" style="142" customWidth="1"/>
    <col min="15" max="15" width="26.140625" style="142" customWidth="1"/>
    <col min="16" max="16" width="26.28515625" style="142" customWidth="1"/>
    <col min="17" max="17" width="4.140625" style="142" customWidth="1"/>
    <col min="18" max="18" width="3.42578125" style="142" customWidth="1"/>
    <col min="19" max="27" width="9.140625" style="142" customWidth="1"/>
    <col min="28" max="16384" width="9.140625" style="142"/>
  </cols>
  <sheetData>
    <row r="1" spans="2:17" s="88" customFormat="1" ht="13.5" thickBot="1" x14ac:dyDescent="0.25">
      <c r="C1" s="89"/>
    </row>
    <row r="2" spans="2:17" s="88" customFormat="1" ht="54.75" customHeight="1" x14ac:dyDescent="0.2">
      <c r="B2" s="168"/>
      <c r="C2" s="191"/>
      <c r="D2" s="252" t="s">
        <v>119</v>
      </c>
      <c r="E2" s="253"/>
      <c r="F2" s="253"/>
      <c r="G2" s="253"/>
      <c r="H2" s="253"/>
      <c r="I2" s="253"/>
      <c r="J2" s="253"/>
      <c r="K2" s="253"/>
      <c r="L2" s="253"/>
      <c r="M2" s="253"/>
      <c r="N2" s="253"/>
      <c r="O2" s="253"/>
      <c r="P2" s="253"/>
      <c r="Q2" s="254"/>
    </row>
    <row r="3" spans="2:17" s="88" customFormat="1" ht="40.5" customHeight="1" thickBot="1" x14ac:dyDescent="0.25">
      <c r="B3" s="169"/>
      <c r="C3" s="192"/>
      <c r="D3" s="255"/>
      <c r="E3" s="256"/>
      <c r="F3" s="256"/>
      <c r="G3" s="256"/>
      <c r="H3" s="256"/>
      <c r="I3" s="256"/>
      <c r="J3" s="256"/>
      <c r="K3" s="256"/>
      <c r="L3" s="256"/>
      <c r="M3" s="256"/>
      <c r="N3" s="256"/>
      <c r="O3" s="256"/>
      <c r="P3" s="256"/>
      <c r="Q3" s="257"/>
    </row>
    <row r="4" spans="2:17" s="88" customFormat="1" ht="22.5" customHeight="1" thickBot="1" x14ac:dyDescent="0.25">
      <c r="B4" s="170"/>
      <c r="C4" s="171"/>
      <c r="D4" s="193"/>
      <c r="E4" s="193"/>
      <c r="F4" s="193"/>
      <c r="G4" s="193"/>
      <c r="H4" s="193"/>
      <c r="I4" s="193"/>
      <c r="J4" s="194"/>
      <c r="K4" s="195"/>
      <c r="L4" s="195"/>
      <c r="M4" s="195" t="s">
        <v>125</v>
      </c>
      <c r="N4" s="196"/>
      <c r="O4" s="195" t="s">
        <v>126</v>
      </c>
      <c r="P4" s="196"/>
      <c r="Q4" s="197"/>
    </row>
    <row r="5" spans="2:17" s="97" customFormat="1" ht="15.75" customHeight="1" x14ac:dyDescent="0.25">
      <c r="B5" s="90"/>
      <c r="C5" s="186"/>
      <c r="D5" s="187"/>
      <c r="E5" s="93">
        <v>0.3</v>
      </c>
      <c r="F5" s="91"/>
      <c r="G5" s="93">
        <v>0.5</v>
      </c>
      <c r="H5" s="94"/>
      <c r="I5" s="95">
        <v>0.2</v>
      </c>
      <c r="J5" s="91"/>
      <c r="K5" s="91"/>
      <c r="L5" s="91"/>
      <c r="M5" s="91"/>
      <c r="N5" s="91"/>
      <c r="O5" s="91"/>
      <c r="P5" s="91"/>
      <c r="Q5" s="96"/>
    </row>
    <row r="6" spans="2:17" s="97" customFormat="1" ht="126.75" customHeight="1" thickBot="1" x14ac:dyDescent="0.3">
      <c r="B6" s="90"/>
      <c r="C6" s="184" t="s">
        <v>128</v>
      </c>
      <c r="D6" s="185" t="s">
        <v>131</v>
      </c>
      <c r="E6" s="185" t="s">
        <v>132</v>
      </c>
      <c r="F6" s="185" t="s">
        <v>193</v>
      </c>
      <c r="G6" s="185" t="s">
        <v>194</v>
      </c>
      <c r="H6" s="188" t="s">
        <v>133</v>
      </c>
      <c r="I6" s="188" t="s">
        <v>134</v>
      </c>
      <c r="J6" s="185" t="s">
        <v>141</v>
      </c>
      <c r="K6" s="185" t="s">
        <v>23</v>
      </c>
      <c r="L6" s="185" t="s">
        <v>142</v>
      </c>
      <c r="M6" s="185" t="s">
        <v>143</v>
      </c>
      <c r="N6" s="185" t="s">
        <v>144</v>
      </c>
      <c r="O6" s="185" t="s">
        <v>145</v>
      </c>
      <c r="P6" s="185" t="s">
        <v>146</v>
      </c>
      <c r="Q6" s="96"/>
    </row>
    <row r="7" spans="2:17" s="123" customFormat="1" ht="63.75" x14ac:dyDescent="0.25">
      <c r="B7" s="108">
        <v>1</v>
      </c>
      <c r="C7" s="181" t="s">
        <v>195</v>
      </c>
      <c r="D7" s="114" t="s">
        <v>44</v>
      </c>
      <c r="E7" s="115">
        <f>INDEX(Tiempo_Ult_Aud_Calif,MATCH('Priorización Tramites'!D7,Tiempo_Ult_Aud_Def,0))</f>
        <v>5</v>
      </c>
      <c r="F7" s="116" t="s">
        <v>79</v>
      </c>
      <c r="G7" s="118">
        <f t="shared" ref="G7" si="0">INDEX(Impacto_Ppto_Calif,MATCH(F7,Impacto_Ppto_Def,0))</f>
        <v>2</v>
      </c>
      <c r="H7" s="116" t="s">
        <v>47</v>
      </c>
      <c r="I7" s="117">
        <f t="shared" ref="I7:I30" si="1">INDEX(Nivel_Directivo_Calif,MATCH(H7,Nivel_Directivo_Def,0))</f>
        <v>1</v>
      </c>
      <c r="J7" s="120">
        <f t="shared" ref="J7:J30" si="2">$E$5*E7+$G$5*G7+$I$5*I7</f>
        <v>2.7</v>
      </c>
      <c r="K7" s="120" t="str">
        <f t="shared" ref="K7" si="3">LOOKUP(J7,Nivel_Criticidad)</f>
        <v>Moderado</v>
      </c>
      <c r="L7" s="118" t="str">
        <f t="shared" ref="L7" si="4">INDEX(Ciclo_Rotación_Calif,MATCH(K7,Ciclo_Rotación_Def,0))</f>
        <v>Cada 3 años</v>
      </c>
      <c r="M7" s="121" t="str">
        <f t="shared" ref="M7:M30" si="5">IF(L7="Cada año",C7,"")</f>
        <v/>
      </c>
      <c r="N7" s="121" t="str">
        <f t="shared" ref="N7:N30" si="6">IF(OR(L7="Cada año",L7="Cada 2 años"),C7,"")</f>
        <v/>
      </c>
      <c r="O7" s="121" t="str">
        <f t="shared" ref="O7:O30" si="7">IF(OR(L7="Cada año",L7="Cada 3 años"),C7,"")</f>
        <v>Asesoría y orientación en calidad y certificación turística - Dirección de Calidad y Desarrollo Sostenible del Turismo</v>
      </c>
      <c r="P7" s="121" t="str">
        <f t="shared" ref="P7:P30" si="8">IF(OR(L7="Cada año",L7="Cada 2 años",L7="Cada 4 años"),C7,"")</f>
        <v/>
      </c>
      <c r="Q7" s="122"/>
    </row>
    <row r="8" spans="2:17" s="123" customFormat="1" ht="89.25" x14ac:dyDescent="0.25">
      <c r="B8" s="108">
        <v>2</v>
      </c>
      <c r="C8" s="182" t="s">
        <v>196</v>
      </c>
      <c r="D8" s="114" t="s">
        <v>44</v>
      </c>
      <c r="E8" s="115">
        <f>INDEX(Tiempo_Ult_Aud_Calif,MATCH('Priorización Tramites'!D8,Tiempo_Ult_Aud_Def,0))</f>
        <v>5</v>
      </c>
      <c r="F8" s="116" t="s">
        <v>80</v>
      </c>
      <c r="G8" s="118">
        <f t="shared" ref="G8" si="9">INDEX(Impacto_Ppto_Calif,MATCH(F8,Impacto_Ppto_Def,0))</f>
        <v>1</v>
      </c>
      <c r="H8" s="116" t="s">
        <v>47</v>
      </c>
      <c r="I8" s="117">
        <f t="shared" ref="I8" si="10">INDEX(Nivel_Directivo_Calif,MATCH(H8,Nivel_Directivo_Def,0))</f>
        <v>1</v>
      </c>
      <c r="J8" s="120">
        <f t="shared" ref="J8" si="11">$E$5*E8+$G$5*G8+$I$5*I8</f>
        <v>2.2000000000000002</v>
      </c>
      <c r="K8" s="120" t="str">
        <f t="shared" ref="K8" si="12">LOOKUP(J8,Nivel_Criticidad)</f>
        <v>Moderado</v>
      </c>
      <c r="L8" s="118" t="str">
        <f t="shared" ref="L8" si="13">INDEX(Ciclo_Rotación_Calif,MATCH(K8,Ciclo_Rotación_Def,0))</f>
        <v>Cada 3 años</v>
      </c>
      <c r="M8" s="121" t="str">
        <f t="shared" ref="M8" si="14">IF(L8="Cada año",C8,"")</f>
        <v/>
      </c>
      <c r="N8" s="121" t="str">
        <f t="shared" ref="N8" si="15">IF(OR(L8="Cada año",L8="Cada 2 años"),C8,"")</f>
        <v/>
      </c>
      <c r="O8" s="121" t="str">
        <f t="shared" ref="O8" si="16">IF(OR(L8="Cada año",L8="Cada 3 años"),C8,"")</f>
        <v>Aprobación de Planes Maestros para Infraestructura de Proyectos Turísticos Especiales de Gran Escala (PTE) - Viceministerio de Turismo</v>
      </c>
      <c r="P8" s="121" t="str">
        <f t="shared" ref="P8" si="17">IF(OR(L8="Cada año",L8="Cada 2 años",L8="Cada 4 años"),C8,"")</f>
        <v/>
      </c>
      <c r="Q8" s="122"/>
    </row>
    <row r="9" spans="2:17" s="123" customFormat="1" ht="102" x14ac:dyDescent="0.25">
      <c r="B9" s="108">
        <v>3</v>
      </c>
      <c r="C9" s="183" t="s">
        <v>197</v>
      </c>
      <c r="D9" s="114" t="s">
        <v>44</v>
      </c>
      <c r="E9" s="115">
        <f>INDEX(Tiempo_Ult_Aud_Calif,MATCH('Priorización Tramites'!D9,Tiempo_Ult_Aud_Def,0))</f>
        <v>5</v>
      </c>
      <c r="F9" s="116" t="s">
        <v>80</v>
      </c>
      <c r="G9" s="118">
        <f t="shared" ref="G9" si="18">INDEX(Impacto_Ppto_Calif,MATCH(F9,Impacto_Ppto_Def,0))</f>
        <v>1</v>
      </c>
      <c r="H9" s="116" t="s">
        <v>47</v>
      </c>
      <c r="I9" s="117">
        <f t="shared" si="1"/>
        <v>1</v>
      </c>
      <c r="J9" s="120">
        <f t="shared" si="2"/>
        <v>2.2000000000000002</v>
      </c>
      <c r="K9" s="120" t="str">
        <f t="shared" ref="K9" si="19">LOOKUP(J9,Nivel_Criticidad)</f>
        <v>Moderado</v>
      </c>
      <c r="L9" s="118" t="str">
        <f t="shared" ref="L9:L30" si="20">INDEX(Ciclo_Rotación_Calif,MATCH(K9,Ciclo_Rotación_Def,0))</f>
        <v>Cada 3 años</v>
      </c>
      <c r="M9" s="121" t="str">
        <f t="shared" si="5"/>
        <v/>
      </c>
      <c r="N9" s="121" t="str">
        <f t="shared" si="6"/>
        <v/>
      </c>
      <c r="O9" s="121" t="str">
        <f t="shared" si="7"/>
        <v>Declaratoria de existencia de un área geográfica como Zona Inscrito Franca Transitoria - Dirección de Productividad y Competitividad - Grupo Zonas Francas</v>
      </c>
      <c r="P9" s="121" t="str">
        <f t="shared" si="8"/>
        <v/>
      </c>
      <c r="Q9" s="122"/>
    </row>
    <row r="10" spans="2:17" s="123" customFormat="1" ht="63.75" x14ac:dyDescent="0.25">
      <c r="B10" s="108">
        <v>4</v>
      </c>
      <c r="C10" s="183" t="s">
        <v>198</v>
      </c>
      <c r="D10" s="114" t="s">
        <v>44</v>
      </c>
      <c r="E10" s="115">
        <f>INDEX(Tiempo_Ult_Aud_Calif,MATCH('Priorización Tramites'!D10,Tiempo_Ult_Aud_Def,0))</f>
        <v>5</v>
      </c>
      <c r="F10" s="116" t="s">
        <v>80</v>
      </c>
      <c r="G10" s="118">
        <f t="shared" ref="G10:G30" si="21">INDEX(Impacto_Ppto_Calif,MATCH(F10,Impacto_Ppto_Def,0))</f>
        <v>1</v>
      </c>
      <c r="H10" s="116" t="s">
        <v>47</v>
      </c>
      <c r="I10" s="117">
        <f t="shared" si="1"/>
        <v>1</v>
      </c>
      <c r="J10" s="120">
        <f t="shared" si="2"/>
        <v>2.2000000000000002</v>
      </c>
      <c r="K10" s="120" t="str">
        <f t="shared" ref="K10:K20" si="22">LOOKUP(J10,Nivel_Criticidad)</f>
        <v>Moderado</v>
      </c>
      <c r="L10" s="118" t="str">
        <f t="shared" ref="L10:L20" si="23">INDEX(Ciclo_Rotación_Calif,MATCH(K10,Ciclo_Rotación_Def,0))</f>
        <v>Cada 3 años</v>
      </c>
      <c r="M10" s="121" t="str">
        <f t="shared" si="5"/>
        <v/>
      </c>
      <c r="N10" s="121" t="str">
        <f t="shared" si="6"/>
        <v/>
      </c>
      <c r="O10" s="121" t="str">
        <f t="shared" si="7"/>
        <v>Autorización usuario operador - Dirección de Productividad y Competitividad - Grupo Zonas Francas</v>
      </c>
      <c r="P10" s="121" t="str">
        <f t="shared" si="8"/>
        <v/>
      </c>
      <c r="Q10" s="122"/>
    </row>
    <row r="11" spans="2:17" s="123" customFormat="1" ht="127.5" x14ac:dyDescent="0.25">
      <c r="B11" s="108">
        <v>5</v>
      </c>
      <c r="C11" s="183" t="s">
        <v>199</v>
      </c>
      <c r="D11" s="114" t="s">
        <v>44</v>
      </c>
      <c r="E11" s="115">
        <f>INDEX(Tiempo_Ult_Aud_Calif,MATCH('Priorización Tramites'!D11,Tiempo_Ult_Aud_Def,0))</f>
        <v>5</v>
      </c>
      <c r="F11" s="116" t="s">
        <v>80</v>
      </c>
      <c r="G11" s="118">
        <f>INDEX(Impacto_Ppto_Calif,MATCH(F11,Impacto_Ppto_Def,0))</f>
        <v>1</v>
      </c>
      <c r="H11" s="116" t="s">
        <v>50</v>
      </c>
      <c r="I11" s="117">
        <f>INDEX(Nivel_Directivo_Calif,MATCH(H11,Nivel_Directivo_Def,0))</f>
        <v>2</v>
      </c>
      <c r="J11" s="120">
        <f>$E$5*E11+$G$5*G11+$I$5*I11</f>
        <v>2.4</v>
      </c>
      <c r="K11" s="120" t="str">
        <f>LOOKUP(J11,Nivel_Criticidad)</f>
        <v>Moderado</v>
      </c>
      <c r="L11" s="118" t="str">
        <f>INDEX(Ciclo_Rotación_Calif,MATCH(K11,Ciclo_Rotación_Def,0))</f>
        <v>Cada 3 años</v>
      </c>
      <c r="M11" s="121" t="str">
        <f>IF(L11="Cada año",C11,"")</f>
        <v/>
      </c>
      <c r="N11" s="121" t="str">
        <f>IF(OR(L11="Cada año",L11="Cada 2 años"),C11,"")</f>
        <v/>
      </c>
      <c r="O11" s="121" t="str">
        <f>IF(OR(L11="Cada año",L11="Cada 3 años"),C11,"")</f>
        <v>Declaratoria de existencia de un área geográfica como zona franca permanente especial y reconocimiento del usuario industrial - Dirección de Productividad y Competitividad - Grupo Zonas Francas</v>
      </c>
      <c r="P11" s="121" t="str">
        <f>IF(OR(L11="Cada año",L11="Cada 2 años",L11="Cada 4 años"),C11,"")</f>
        <v/>
      </c>
      <c r="Q11" s="122"/>
    </row>
    <row r="12" spans="2:17" s="123" customFormat="1" ht="57" x14ac:dyDescent="0.25">
      <c r="B12" s="108">
        <v>6</v>
      </c>
      <c r="C12" s="183" t="s">
        <v>200</v>
      </c>
      <c r="D12" s="114" t="s">
        <v>44</v>
      </c>
      <c r="E12" s="115">
        <f>INDEX(Tiempo_Ult_Aud_Calif,MATCH('Priorización Tramites'!D12,Tiempo_Ult_Aud_Def,0))</f>
        <v>5</v>
      </c>
      <c r="F12" s="116" t="s">
        <v>80</v>
      </c>
      <c r="G12" s="118">
        <f t="shared" ref="G12" si="24">INDEX(Impacto_Ppto_Calif,MATCH(F12,Impacto_Ppto_Def,0))</f>
        <v>1</v>
      </c>
      <c r="H12" s="116" t="s">
        <v>47</v>
      </c>
      <c r="I12" s="117">
        <f t="shared" ref="I12" si="25">INDEX(Nivel_Directivo_Calif,MATCH(H12,Nivel_Directivo_Def,0))</f>
        <v>1</v>
      </c>
      <c r="J12" s="120">
        <f t="shared" ref="J12" si="26">$E$5*E12+$G$5*G12+$I$5*I12</f>
        <v>2.2000000000000002</v>
      </c>
      <c r="K12" s="120" t="str">
        <f t="shared" ref="K12" si="27">LOOKUP(J12,Nivel_Criticidad)</f>
        <v>Moderado</v>
      </c>
      <c r="L12" s="118" t="str">
        <f t="shared" ref="L12" si="28">INDEX(Ciclo_Rotación_Calif,MATCH(K12,Ciclo_Rotación_Def,0))</f>
        <v>Cada 3 años</v>
      </c>
      <c r="M12" s="121" t="str">
        <f t="shared" ref="M12" si="29">IF(L12="Cada año",C12,"")</f>
        <v/>
      </c>
      <c r="N12" s="121" t="str">
        <f t="shared" ref="N12" si="30">IF(OR(L12="Cada año",L12="Cada 2 años"),C12,"")</f>
        <v/>
      </c>
      <c r="O12" s="121" t="str">
        <f t="shared" ref="O12" si="31">IF(OR(L12="Cada año",L12="Cada 3 años"),C12,"")</f>
        <v>Aprobación de la creación de Unidades Sectoriales de Normalización - Dirección de Regulación</v>
      </c>
      <c r="P12" s="121" t="str">
        <f t="shared" ref="P12" si="32">IF(OR(L12="Cada año",L12="Cada 2 años",L12="Cada 4 años"),C12,"")</f>
        <v/>
      </c>
      <c r="Q12" s="122"/>
    </row>
    <row r="13" spans="2:17" s="123" customFormat="1" ht="63.75" x14ac:dyDescent="0.25">
      <c r="B13" s="108">
        <v>7</v>
      </c>
      <c r="C13" s="183" t="s">
        <v>201</v>
      </c>
      <c r="D13" s="114" t="s">
        <v>44</v>
      </c>
      <c r="E13" s="115">
        <f>INDEX(Tiempo_Ult_Aud_Calif,MATCH('Priorización Tramites'!D13,Tiempo_Ult_Aud_Def,0))</f>
        <v>5</v>
      </c>
      <c r="F13" s="116" t="s">
        <v>80</v>
      </c>
      <c r="G13" s="118">
        <f t="shared" ref="G13" si="33">INDEX(Impacto_Ppto_Calif,MATCH(F13,Impacto_Ppto_Def,0))</f>
        <v>1</v>
      </c>
      <c r="H13" s="116" t="s">
        <v>47</v>
      </c>
      <c r="I13" s="117">
        <f t="shared" ref="I13" si="34">INDEX(Nivel_Directivo_Calif,MATCH(H13,Nivel_Directivo_Def,0))</f>
        <v>1</v>
      </c>
      <c r="J13" s="120">
        <f t="shared" ref="J13" si="35">$E$5*E13+$G$5*G13+$I$5*I13</f>
        <v>2.2000000000000002</v>
      </c>
      <c r="K13" s="120" t="str">
        <f t="shared" ref="K13" si="36">LOOKUP(J13,Nivel_Criticidad)</f>
        <v>Moderado</v>
      </c>
      <c r="L13" s="118" t="str">
        <f t="shared" ref="L13" si="37">INDEX(Ciclo_Rotación_Calif,MATCH(K13,Ciclo_Rotación_Def,0))</f>
        <v>Cada 3 años</v>
      </c>
      <c r="M13" s="121" t="str">
        <f t="shared" ref="M13" si="38">IF(L13="Cada año",C13,"")</f>
        <v/>
      </c>
      <c r="N13" s="121" t="str">
        <f t="shared" ref="N13" si="39">IF(OR(L13="Cada año",L13="Cada 2 años"),C13,"")</f>
        <v/>
      </c>
      <c r="O13" s="121" t="str">
        <f t="shared" ref="O13" si="40">IF(OR(L13="Cada año",L13="Cada 3 años"),C13,"")</f>
        <v>Modificaciones de la nomenclatura y tarifas arancelarias - Subdirección de Prácticas Comerciales</v>
      </c>
      <c r="P13" s="121" t="str">
        <f t="shared" ref="P13" si="41">IF(OR(L13="Cada año",L13="Cada 2 años",L13="Cada 4 años"),C13,"")</f>
        <v/>
      </c>
      <c r="Q13" s="122"/>
    </row>
    <row r="14" spans="2:17" s="123" customFormat="1" ht="63.75" x14ac:dyDescent="0.25">
      <c r="B14" s="108">
        <v>8</v>
      </c>
      <c r="C14" s="183" t="s">
        <v>202</v>
      </c>
      <c r="D14" s="114" t="s">
        <v>44</v>
      </c>
      <c r="E14" s="115">
        <f>INDEX(Tiempo_Ult_Aud_Calif,MATCH('Priorización Tramites'!D14,Tiempo_Ult_Aud_Def,0))</f>
        <v>5</v>
      </c>
      <c r="F14" s="116" t="s">
        <v>80</v>
      </c>
      <c r="G14" s="118">
        <f t="shared" ref="G14" si="42">INDEX(Impacto_Ppto_Calif,MATCH(F14,Impacto_Ppto_Def,0))</f>
        <v>1</v>
      </c>
      <c r="H14" s="116" t="s">
        <v>47</v>
      </c>
      <c r="I14" s="117">
        <f t="shared" ref="I14" si="43">INDEX(Nivel_Directivo_Calif,MATCH(H14,Nivel_Directivo_Def,0))</f>
        <v>1</v>
      </c>
      <c r="J14" s="120">
        <f t="shared" ref="J14" si="44">$E$5*E14+$G$5*G14+$I$5*I14</f>
        <v>2.2000000000000002</v>
      </c>
      <c r="K14" s="120" t="str">
        <f t="shared" ref="K14" si="45">LOOKUP(J14,Nivel_Criticidad)</f>
        <v>Moderado</v>
      </c>
      <c r="L14" s="118" t="str">
        <f t="shared" ref="L14" si="46">INDEX(Ciclo_Rotación_Calif,MATCH(K14,Ciclo_Rotación_Def,0))</f>
        <v>Cada 3 años</v>
      </c>
      <c r="M14" s="121" t="str">
        <f t="shared" ref="M14" si="47">IF(L14="Cada año",C14,"")</f>
        <v/>
      </c>
      <c r="N14" s="121" t="str">
        <f t="shared" ref="N14" si="48">IF(OR(L14="Cada año",L14="Cada 2 años"),C14,"")</f>
        <v/>
      </c>
      <c r="O14" s="121" t="str">
        <f t="shared" ref="O14" si="49">IF(OR(L14="Cada año",L14="Cada 3 años"),C14,"")</f>
        <v>Investigación para aplicación de derechos compensatorios - Subdirección de Prácticas Comerciales</v>
      </c>
      <c r="P14" s="121" t="str">
        <f t="shared" ref="P14" si="50">IF(OR(L14="Cada año",L14="Cada 2 años",L14="Cada 4 años"),C14,"")</f>
        <v/>
      </c>
      <c r="Q14" s="122"/>
    </row>
    <row r="15" spans="2:17" s="123" customFormat="1" ht="63.75" x14ac:dyDescent="0.25">
      <c r="B15" s="108">
        <v>9</v>
      </c>
      <c r="C15" s="183" t="s">
        <v>203</v>
      </c>
      <c r="D15" s="114" t="s">
        <v>44</v>
      </c>
      <c r="E15" s="115">
        <f>INDEX(Tiempo_Ult_Aud_Calif,MATCH('Priorización Tramites'!D15,Tiempo_Ult_Aud_Def,0))</f>
        <v>5</v>
      </c>
      <c r="F15" s="116" t="s">
        <v>80</v>
      </c>
      <c r="G15" s="118">
        <f t="shared" ref="G15" si="51">INDEX(Impacto_Ppto_Calif,MATCH(F15,Impacto_Ppto_Def,0))</f>
        <v>1</v>
      </c>
      <c r="H15" s="116" t="s">
        <v>47</v>
      </c>
      <c r="I15" s="117">
        <f t="shared" ref="I15" si="52">INDEX(Nivel_Directivo_Calif,MATCH(H15,Nivel_Directivo_Def,0))</f>
        <v>1</v>
      </c>
      <c r="J15" s="120">
        <f t="shared" ref="J15" si="53">$E$5*E15+$G$5*G15+$I$5*I15</f>
        <v>2.2000000000000002</v>
      </c>
      <c r="K15" s="120" t="str">
        <f t="shared" ref="K15" si="54">LOOKUP(J15,Nivel_Criticidad)</f>
        <v>Moderado</v>
      </c>
      <c r="L15" s="118" t="str">
        <f t="shared" ref="L15" si="55">INDEX(Ciclo_Rotación_Calif,MATCH(K15,Ciclo_Rotación_Def,0))</f>
        <v>Cada 3 años</v>
      </c>
      <c r="M15" s="121" t="str">
        <f t="shared" ref="M15" si="56">IF(L15="Cada año",C15,"")</f>
        <v/>
      </c>
      <c r="N15" s="121" t="str">
        <f t="shared" ref="N15" si="57">IF(OR(L15="Cada año",L15="Cada 2 años"),C15,"")</f>
        <v/>
      </c>
      <c r="O15" s="121" t="str">
        <f t="shared" ref="O15" si="58">IF(OR(L15="Cada año",L15="Cada 3 años"),C15,"")</f>
        <v>Investigación para aplicación de medidas de salvaguardia - Subdirección de Prácticas Comerciales</v>
      </c>
      <c r="P15" s="121" t="str">
        <f t="shared" ref="P15" si="59">IF(OR(L15="Cada año",L15="Cada 2 años",L15="Cada 4 años"),C15,"")</f>
        <v/>
      </c>
      <c r="Q15" s="122"/>
    </row>
    <row r="16" spans="2:17" s="123" customFormat="1" ht="63.75" x14ac:dyDescent="0.25">
      <c r="B16" s="108">
        <v>10</v>
      </c>
      <c r="C16" s="183" t="s">
        <v>204</v>
      </c>
      <c r="D16" s="114" t="s">
        <v>44</v>
      </c>
      <c r="E16" s="115">
        <f>INDEX(Tiempo_Ult_Aud_Calif,MATCH('Priorización Tramites'!D16,Tiempo_Ult_Aud_Def,0))</f>
        <v>5</v>
      </c>
      <c r="F16" s="116" t="s">
        <v>80</v>
      </c>
      <c r="G16" s="118">
        <f t="shared" ref="G16" si="60">INDEX(Impacto_Ppto_Calif,MATCH(F16,Impacto_Ppto_Def,0))</f>
        <v>1</v>
      </c>
      <c r="H16" s="116" t="s">
        <v>47</v>
      </c>
      <c r="I16" s="117">
        <f t="shared" ref="I16" si="61">INDEX(Nivel_Directivo_Calif,MATCH(H16,Nivel_Directivo_Def,0))</f>
        <v>1</v>
      </c>
      <c r="J16" s="120">
        <f t="shared" ref="J16" si="62">$E$5*E16+$G$5*G16+$I$5*I16</f>
        <v>2.2000000000000002</v>
      </c>
      <c r="K16" s="120" t="str">
        <f t="shared" ref="K16" si="63">LOOKUP(J16,Nivel_Criticidad)</f>
        <v>Moderado</v>
      </c>
      <c r="L16" s="118" t="str">
        <f t="shared" ref="L16" si="64">INDEX(Ciclo_Rotación_Calif,MATCH(K16,Ciclo_Rotación_Def,0))</f>
        <v>Cada 3 años</v>
      </c>
      <c r="M16" s="121" t="str">
        <f t="shared" ref="M16" si="65">IF(L16="Cada año",C16,"")</f>
        <v/>
      </c>
      <c r="N16" s="121" t="str">
        <f t="shared" ref="N16" si="66">IF(OR(L16="Cada año",L16="Cada 2 años"),C16,"")</f>
        <v/>
      </c>
      <c r="O16" s="121" t="str">
        <f t="shared" ref="O16" si="67">IF(OR(L16="Cada año",L16="Cada 3 años"),C16,"")</f>
        <v>Investigación para aplicación de derechos antidumping - Subdirección de Prácticas Comerciales</v>
      </c>
      <c r="P16" s="121" t="str">
        <f t="shared" ref="P16" si="68">IF(OR(L16="Cada año",L16="Cada 2 años",L16="Cada 4 años"),C16,"")</f>
        <v/>
      </c>
      <c r="Q16" s="122"/>
    </row>
    <row r="17" spans="2:17" s="123" customFormat="1" ht="140.25" x14ac:dyDescent="0.25">
      <c r="B17" s="108">
        <v>11</v>
      </c>
      <c r="C17" s="183" t="s">
        <v>205</v>
      </c>
      <c r="D17" s="114" t="s">
        <v>44</v>
      </c>
      <c r="E17" s="115">
        <f>INDEX(Tiempo_Ult_Aud_Calif,MATCH('Priorización Tramites'!D17,Tiempo_Ult_Aud_Def,0))</f>
        <v>5</v>
      </c>
      <c r="F17" s="116" t="s">
        <v>80</v>
      </c>
      <c r="G17" s="118">
        <f t="shared" si="21"/>
        <v>1</v>
      </c>
      <c r="H17" s="116" t="s">
        <v>47</v>
      </c>
      <c r="I17" s="117">
        <f t="shared" si="1"/>
        <v>1</v>
      </c>
      <c r="J17" s="120">
        <f t="shared" si="2"/>
        <v>2.2000000000000002</v>
      </c>
      <c r="K17" s="120" t="str">
        <f t="shared" si="22"/>
        <v>Moderado</v>
      </c>
      <c r="L17" s="118" t="str">
        <f t="shared" si="23"/>
        <v>Cada 3 años</v>
      </c>
      <c r="M17" s="121" t="str">
        <f t="shared" si="5"/>
        <v/>
      </c>
      <c r="N17" s="121" t="str">
        <f t="shared" si="6"/>
        <v/>
      </c>
      <c r="O17" s="121" t="str">
        <f t="shared" si="7"/>
        <v xml:space="preserve">Aprobación de programas de Sistemas Especiales de Importación - Exportación y sus modificaciones - Subdirección de Diseño y Administración de Operaciones – Grupo Sistemas Especiales de Importación – Exportación y Comercializadoras </v>
      </c>
      <c r="P17" s="121" t="str">
        <f t="shared" si="8"/>
        <v/>
      </c>
      <c r="Q17" s="122"/>
    </row>
    <row r="18" spans="2:17" s="123" customFormat="1" ht="127.5" x14ac:dyDescent="0.25">
      <c r="B18" s="108">
        <v>12</v>
      </c>
      <c r="C18" s="183" t="s">
        <v>206</v>
      </c>
      <c r="D18" s="114" t="s">
        <v>44</v>
      </c>
      <c r="E18" s="115">
        <f>INDEX(Tiempo_Ult_Aud_Calif,MATCH('Priorización Tramites'!D18,Tiempo_Ult_Aud_Def,0))</f>
        <v>5</v>
      </c>
      <c r="F18" s="116" t="s">
        <v>80</v>
      </c>
      <c r="G18" s="118">
        <f t="shared" si="21"/>
        <v>1</v>
      </c>
      <c r="H18" s="116" t="s">
        <v>47</v>
      </c>
      <c r="I18" s="117">
        <f t="shared" si="1"/>
        <v>1</v>
      </c>
      <c r="J18" s="120">
        <f t="shared" si="2"/>
        <v>2.2000000000000002</v>
      </c>
      <c r="K18" s="120" t="str">
        <f t="shared" si="22"/>
        <v>Moderado</v>
      </c>
      <c r="L18" s="118" t="str">
        <f t="shared" si="23"/>
        <v>Cada 3 años</v>
      </c>
      <c r="M18" s="121" t="str">
        <f t="shared" si="5"/>
        <v/>
      </c>
      <c r="N18" s="121" t="str">
        <f t="shared" si="6"/>
        <v/>
      </c>
      <c r="O18" s="121" t="str">
        <f t="shared" si="7"/>
        <v xml:space="preserve">Solicitud de autorización como sociedad de comercialización internacional - Subdirección de Diseño y Administración de Operaciones – Grupo Sistemas Especiales de Importación – Exportación y Comercializadoras </v>
      </c>
      <c r="P18" s="121" t="str">
        <f t="shared" si="8"/>
        <v/>
      </c>
      <c r="Q18" s="122"/>
    </row>
    <row r="19" spans="2:17" s="123" customFormat="1" ht="140.25" x14ac:dyDescent="0.25">
      <c r="B19" s="108">
        <v>13</v>
      </c>
      <c r="C19" s="183" t="s">
        <v>207</v>
      </c>
      <c r="D19" s="114" t="s">
        <v>44</v>
      </c>
      <c r="E19" s="115">
        <f>INDEX(Tiempo_Ult_Aud_Calif,MATCH('Priorización Tramites'!D19,Tiempo_Ult_Aud_Def,0))</f>
        <v>5</v>
      </c>
      <c r="F19" s="116" t="s">
        <v>80</v>
      </c>
      <c r="G19" s="118">
        <f t="shared" si="21"/>
        <v>1</v>
      </c>
      <c r="H19" s="116" t="s">
        <v>47</v>
      </c>
      <c r="I19" s="117">
        <f t="shared" si="1"/>
        <v>1</v>
      </c>
      <c r="J19" s="120">
        <f t="shared" si="2"/>
        <v>2.2000000000000002</v>
      </c>
      <c r="K19" s="120" t="str">
        <f t="shared" si="22"/>
        <v>Moderado</v>
      </c>
      <c r="L19" s="118" t="str">
        <f t="shared" si="23"/>
        <v>Cada 3 años</v>
      </c>
      <c r="M19" s="121" t="str">
        <f t="shared" si="5"/>
        <v/>
      </c>
      <c r="N19" s="121" t="str">
        <f t="shared" si="6"/>
        <v/>
      </c>
      <c r="O19" s="121" t="str">
        <f t="shared" si="7"/>
        <v xml:space="preserve">Autorización de reposición de materias primas e insumos mediante los Sistemas de Importación y Exportación - Subdirección de Diseño y Administración de Operaciones – Grupo Sistemas Especiales de Importación – Exportación y Comercializadoras </v>
      </c>
      <c r="P19" s="121" t="str">
        <f t="shared" si="8"/>
        <v/>
      </c>
      <c r="Q19" s="122"/>
    </row>
    <row r="20" spans="2:17" s="123" customFormat="1" ht="140.25" x14ac:dyDescent="0.25">
      <c r="B20" s="108">
        <v>14</v>
      </c>
      <c r="C20" s="183" t="s">
        <v>208</v>
      </c>
      <c r="D20" s="114" t="s">
        <v>44</v>
      </c>
      <c r="E20" s="115">
        <f>INDEX(Tiempo_Ult_Aud_Calif,MATCH('Priorización Tramites'!D20,Tiempo_Ult_Aud_Def,0))</f>
        <v>5</v>
      </c>
      <c r="F20" s="116" t="s">
        <v>80</v>
      </c>
      <c r="G20" s="118">
        <f t="shared" si="21"/>
        <v>1</v>
      </c>
      <c r="H20" s="116" t="s">
        <v>47</v>
      </c>
      <c r="I20" s="117">
        <f t="shared" si="1"/>
        <v>1</v>
      </c>
      <c r="J20" s="120">
        <f t="shared" si="2"/>
        <v>2.2000000000000002</v>
      </c>
      <c r="K20" s="120" t="str">
        <f t="shared" si="22"/>
        <v>Moderado</v>
      </c>
      <c r="L20" s="118" t="str">
        <f t="shared" si="23"/>
        <v>Cada 3 años</v>
      </c>
      <c r="M20" s="121" t="str">
        <f t="shared" si="5"/>
        <v/>
      </c>
      <c r="N20" s="121" t="str">
        <f t="shared" si="6"/>
        <v/>
      </c>
      <c r="O20" s="121" t="str">
        <f t="shared" si="7"/>
        <v xml:space="preserve">Estudios de demostración del
cumplimiento de compromisos
de exportación - Subdirección de Diseño y Administración de Operaciones – Grupo Sistemas Especiales de Importación – Exportación y Comercializadoras </v>
      </c>
      <c r="P20" s="121" t="str">
        <f t="shared" si="8"/>
        <v/>
      </c>
      <c r="Q20" s="122"/>
    </row>
    <row r="21" spans="2:17" s="123" customFormat="1" ht="102" x14ac:dyDescent="0.25">
      <c r="B21" s="108">
        <v>15</v>
      </c>
      <c r="C21" s="183" t="s">
        <v>209</v>
      </c>
      <c r="D21" s="114" t="s">
        <v>44</v>
      </c>
      <c r="E21" s="115">
        <f>INDEX(Tiempo_Ult_Aud_Calif,MATCH('Priorización Tramites'!D21,Tiempo_Ult_Aud_Def,0))</f>
        <v>5</v>
      </c>
      <c r="F21" s="116" t="s">
        <v>77</v>
      </c>
      <c r="G21" s="118">
        <f t="shared" si="21"/>
        <v>4</v>
      </c>
      <c r="H21" s="116" t="s">
        <v>47</v>
      </c>
      <c r="I21" s="117">
        <f t="shared" si="1"/>
        <v>1</v>
      </c>
      <c r="J21" s="120">
        <f t="shared" si="2"/>
        <v>3.7</v>
      </c>
      <c r="K21" s="120" t="str">
        <f t="shared" ref="K21:K30" si="69">LOOKUP(J21,Nivel_Criticidad)</f>
        <v>Alto</v>
      </c>
      <c r="L21" s="118" t="str">
        <f t="shared" si="20"/>
        <v>Cada 2 años</v>
      </c>
      <c r="M21" s="121" t="str">
        <f t="shared" si="5"/>
        <v/>
      </c>
      <c r="N21" s="121" t="str">
        <f t="shared" si="6"/>
        <v>Aprobación o modificación de licencias de importación - Subdirección de Diseño y Administración de Operaciones – Comité de Importaciones.</v>
      </c>
      <c r="O21" s="121" t="str">
        <f t="shared" si="7"/>
        <v/>
      </c>
      <c r="P21" s="121" t="str">
        <f t="shared" si="8"/>
        <v>Aprobación o modificación de licencias de importación - Subdirección de Diseño y Administración de Operaciones – Comité de Importaciones.</v>
      </c>
      <c r="Q21" s="122"/>
    </row>
    <row r="22" spans="2:17" s="123" customFormat="1" ht="76.5" x14ac:dyDescent="0.25">
      <c r="B22" s="108">
        <v>16</v>
      </c>
      <c r="C22" s="183" t="s">
        <v>210</v>
      </c>
      <c r="D22" s="114" t="s">
        <v>44</v>
      </c>
      <c r="E22" s="115">
        <f>INDEX(Tiempo_Ult_Aud_Calif,MATCH('Priorización Tramites'!D22,Tiempo_Ult_Aud_Def,0))</f>
        <v>5</v>
      </c>
      <c r="F22" s="116" t="s">
        <v>80</v>
      </c>
      <c r="G22" s="118">
        <f t="shared" ref="G22" si="70">INDEX(Impacto_Ppto_Calif,MATCH(F22,Impacto_Ppto_Def,0))</f>
        <v>1</v>
      </c>
      <c r="H22" s="116" t="s">
        <v>47</v>
      </c>
      <c r="I22" s="117">
        <f t="shared" ref="I22" si="71">INDEX(Nivel_Directivo_Calif,MATCH(H22,Nivel_Directivo_Def,0))</f>
        <v>1</v>
      </c>
      <c r="J22" s="120">
        <f t="shared" ref="J22" si="72">$E$5*E22+$G$5*G22+$I$5*I22</f>
        <v>2.2000000000000002</v>
      </c>
      <c r="K22" s="120" t="str">
        <f t="shared" ref="K22" si="73">LOOKUP(J22,Nivel_Criticidad)</f>
        <v>Moderado</v>
      </c>
      <c r="L22" s="118" t="str">
        <f t="shared" ref="L22" si="74">INDEX(Ciclo_Rotación_Calif,MATCH(K22,Ciclo_Rotación_Def,0))</f>
        <v>Cada 3 años</v>
      </c>
      <c r="M22" s="121" t="str">
        <f t="shared" ref="M22" si="75">IF(L22="Cada año",C22,"")</f>
        <v/>
      </c>
      <c r="N22" s="121" t="str">
        <f t="shared" ref="N22" si="76">IF(OR(L22="Cada año",L22="Cada 2 años"),C22,"")</f>
        <v/>
      </c>
      <c r="O22" s="121" t="str">
        <f t="shared" ref="O22" si="77">IF(OR(L22="Cada año",L22="Cada 3 años"),C22,"")</f>
        <v>Certificaciones de Existencia de Producción Nacional – Subdirección de Diseño y Administración de Operaciones.</v>
      </c>
      <c r="P22" s="121" t="str">
        <f t="shared" ref="P22" si="78">IF(OR(L22="Cada año",L22="Cada 2 años",L22="Cada 4 años"),C22,"")</f>
        <v/>
      </c>
      <c r="Q22" s="122"/>
    </row>
    <row r="23" spans="2:17" s="123" customFormat="1" ht="89.25" x14ac:dyDescent="0.25">
      <c r="B23" s="108">
        <v>17</v>
      </c>
      <c r="C23" s="183" t="s">
        <v>211</v>
      </c>
      <c r="D23" s="114" t="s">
        <v>44</v>
      </c>
      <c r="E23" s="115">
        <f>INDEX(Tiempo_Ult_Aud_Calif,MATCH('Priorización Tramites'!D23,Tiempo_Ult_Aud_Def,0))</f>
        <v>5</v>
      </c>
      <c r="F23" s="116" t="s">
        <v>80</v>
      </c>
      <c r="G23" s="118">
        <f t="shared" ref="G23" si="79">INDEX(Impacto_Ppto_Calif,MATCH(F23,Impacto_Ppto_Def,0))</f>
        <v>1</v>
      </c>
      <c r="H23" s="116" t="s">
        <v>47</v>
      </c>
      <c r="I23" s="117">
        <f t="shared" ref="I23" si="80">INDEX(Nivel_Directivo_Calif,MATCH(H23,Nivel_Directivo_Def,0))</f>
        <v>1</v>
      </c>
      <c r="J23" s="120">
        <f t="shared" ref="J23" si="81">$E$5*E23+$G$5*G23+$I$5*I23</f>
        <v>2.2000000000000002</v>
      </c>
      <c r="K23" s="120" t="str">
        <f t="shared" ref="K23" si="82">LOOKUP(J23,Nivel_Criticidad)</f>
        <v>Moderado</v>
      </c>
      <c r="L23" s="118" t="str">
        <f t="shared" ref="L23" si="83">INDEX(Ciclo_Rotación_Calif,MATCH(K23,Ciclo_Rotación_Def,0))</f>
        <v>Cada 3 años</v>
      </c>
      <c r="M23" s="121" t="str">
        <f t="shared" ref="M23" si="84">IF(L23="Cada año",C23,"")</f>
        <v/>
      </c>
      <c r="N23" s="121" t="str">
        <f t="shared" ref="N23" si="85">IF(OR(L23="Cada año",L23="Cada 2 años"),C23,"")</f>
        <v/>
      </c>
      <c r="O23" s="121" t="str">
        <f t="shared" ref="O23" si="86">IF(OR(L23="Cada año",L23="Cada 3 años"),C23,"")</f>
        <v>Presentación de la solicitud de transformación y ensamble – Subdirección de Diseño y Administración de Operaciones.</v>
      </c>
      <c r="P23" s="121" t="str">
        <f t="shared" ref="P23" si="87">IF(OR(L23="Cada año",L23="Cada 2 años",L23="Cada 4 años"),C23,"")</f>
        <v/>
      </c>
      <c r="Q23" s="122"/>
    </row>
    <row r="24" spans="2:17" s="123" customFormat="1" ht="102" x14ac:dyDescent="0.25">
      <c r="B24" s="108">
        <v>18</v>
      </c>
      <c r="C24" s="183" t="s">
        <v>212</v>
      </c>
      <c r="D24" s="114" t="s">
        <v>44</v>
      </c>
      <c r="E24" s="115">
        <f>INDEX(Tiempo_Ult_Aud_Calif,MATCH('Priorización Tramites'!D24,Tiempo_Ult_Aud_Def,0))</f>
        <v>5</v>
      </c>
      <c r="F24" s="116" t="s">
        <v>78</v>
      </c>
      <c r="G24" s="118">
        <f t="shared" si="21"/>
        <v>3</v>
      </c>
      <c r="H24" s="116" t="s">
        <v>50</v>
      </c>
      <c r="I24" s="117">
        <f t="shared" si="1"/>
        <v>2</v>
      </c>
      <c r="J24" s="120">
        <f t="shared" si="2"/>
        <v>3.4</v>
      </c>
      <c r="K24" s="120" t="str">
        <f t="shared" si="69"/>
        <v>Alto</v>
      </c>
      <c r="L24" s="118" t="str">
        <f t="shared" si="20"/>
        <v>Cada 2 años</v>
      </c>
      <c r="M24" s="121" t="str">
        <f t="shared" si="5"/>
        <v/>
      </c>
      <c r="N24" s="121" t="str">
        <f t="shared" si="6"/>
        <v>Registro de productores de bienes nacionales - Subdirección de
Diseño y Administración de Operaciones - Grupo Registro de
Productores de Bienes Nacionales</v>
      </c>
      <c r="O24" s="121" t="str">
        <f t="shared" si="7"/>
        <v/>
      </c>
      <c r="P24" s="121" t="str">
        <f t="shared" si="8"/>
        <v>Registro de productores de bienes nacionales - Subdirección de
Diseño y Administración de Operaciones - Grupo Registro de
Productores de Bienes Nacionales</v>
      </c>
      <c r="Q24" s="122"/>
    </row>
    <row r="25" spans="2:17" s="123" customFormat="1" ht="76.5" x14ac:dyDescent="0.25">
      <c r="B25" s="108">
        <v>19</v>
      </c>
      <c r="C25" s="183" t="s">
        <v>213</v>
      </c>
      <c r="D25" s="114" t="s">
        <v>44</v>
      </c>
      <c r="E25" s="115">
        <f>INDEX(Tiempo_Ult_Aud_Calif,MATCH('Priorización Tramites'!D25,Tiempo_Ult_Aud_Def,0))</f>
        <v>5</v>
      </c>
      <c r="F25" s="116" t="s">
        <v>80</v>
      </c>
      <c r="G25" s="118">
        <f t="shared" si="21"/>
        <v>1</v>
      </c>
      <c r="H25" s="116" t="s">
        <v>47</v>
      </c>
      <c r="I25" s="117">
        <f t="shared" si="1"/>
        <v>1</v>
      </c>
      <c r="J25" s="120">
        <f t="shared" si="2"/>
        <v>2.2000000000000002</v>
      </c>
      <c r="K25" s="120" t="str">
        <f t="shared" si="69"/>
        <v>Moderado</v>
      </c>
      <c r="L25" s="118" t="str">
        <f t="shared" si="20"/>
        <v>Cada 3 años</v>
      </c>
      <c r="M25" s="121" t="str">
        <f t="shared" si="5"/>
        <v/>
      </c>
      <c r="N25" s="121" t="str">
        <f t="shared" si="6"/>
        <v/>
      </c>
      <c r="O25" s="121" t="str">
        <f t="shared" si="7"/>
        <v>Informes sobre utilización de licencia anual de importación – Subdirección de Diseño y Administración de Operaciones.</v>
      </c>
      <c r="P25" s="121" t="str">
        <f t="shared" si="8"/>
        <v/>
      </c>
      <c r="Q25" s="122"/>
    </row>
    <row r="26" spans="2:17" s="123" customFormat="1" ht="102" x14ac:dyDescent="0.25">
      <c r="B26" s="108">
        <v>20</v>
      </c>
      <c r="C26" s="183" t="s">
        <v>214</v>
      </c>
      <c r="D26" s="114" t="s">
        <v>44</v>
      </c>
      <c r="E26" s="115">
        <f>INDEX(Tiempo_Ult_Aud_Calif,MATCH('Priorización Tramites'!D26,Tiempo_Ult_Aud_Def,0))</f>
        <v>5</v>
      </c>
      <c r="F26" s="116" t="s">
        <v>79</v>
      </c>
      <c r="G26" s="118">
        <f t="shared" ref="G26" si="88">INDEX(Impacto_Ppto_Calif,MATCH(F26,Impacto_Ppto_Def,0))</f>
        <v>2</v>
      </c>
      <c r="H26" s="116" t="s">
        <v>47</v>
      </c>
      <c r="I26" s="117">
        <f t="shared" ref="I26" si="89">INDEX(Nivel_Directivo_Calif,MATCH(H26,Nivel_Directivo_Def,0))</f>
        <v>1</v>
      </c>
      <c r="J26" s="120">
        <f t="shared" ref="J26" si="90">$E$5*E26+$G$5*G26+$I$5*I26</f>
        <v>2.7</v>
      </c>
      <c r="K26" s="120" t="str">
        <f t="shared" ref="K26" si="91">LOOKUP(J26,Nivel_Criticidad)</f>
        <v>Moderado</v>
      </c>
      <c r="L26" s="118" t="str">
        <f t="shared" ref="L26" si="92">INDEX(Ciclo_Rotación_Calif,MATCH(K26,Ciclo_Rotación_Def,0))</f>
        <v>Cada 3 años</v>
      </c>
      <c r="M26" s="121" t="str">
        <f t="shared" ref="M26" si="93">IF(L26="Cada año",C26,"")</f>
        <v/>
      </c>
      <c r="N26" s="121" t="str">
        <f t="shared" ref="N26" si="94">IF(OR(L26="Cada año",L26="Cada 2 años"),C26,"")</f>
        <v/>
      </c>
      <c r="O26" s="121" t="str">
        <f t="shared" ref="O26" si="95">IF(OR(L26="Cada año",L26="Cada 3 años"),C26,"")</f>
        <v>Aprobación cuota(s) de exportación de azúcar sin refinar, panela y productos con azúcar a los Estados Unidos – Subdirección de Diseño y Administración de Operaciones.</v>
      </c>
      <c r="P26" s="121" t="str">
        <f t="shared" ref="P26" si="96">IF(OR(L26="Cada año",L26="Cada 2 años",L26="Cada 4 años"),C26,"")</f>
        <v/>
      </c>
      <c r="Q26" s="122"/>
    </row>
    <row r="27" spans="2:17" s="123" customFormat="1" ht="102" x14ac:dyDescent="0.25">
      <c r="B27" s="108">
        <v>21</v>
      </c>
      <c r="C27" s="183" t="s">
        <v>215</v>
      </c>
      <c r="D27" s="114" t="s">
        <v>44</v>
      </c>
      <c r="E27" s="115">
        <f>INDEX(Tiempo_Ult_Aud_Calif,MATCH('Priorización Tramites'!D27,Tiempo_Ult_Aud_Def,0))</f>
        <v>5</v>
      </c>
      <c r="F27" s="116" t="s">
        <v>77</v>
      </c>
      <c r="G27" s="118">
        <f t="shared" si="21"/>
        <v>4</v>
      </c>
      <c r="H27" s="116" t="s">
        <v>47</v>
      </c>
      <c r="I27" s="117">
        <f t="shared" si="1"/>
        <v>1</v>
      </c>
      <c r="J27" s="120">
        <f t="shared" si="2"/>
        <v>3.7</v>
      </c>
      <c r="K27" s="120" t="str">
        <f t="shared" si="69"/>
        <v>Alto</v>
      </c>
      <c r="L27" s="118" t="str">
        <f t="shared" si="20"/>
        <v>Cada 2 años</v>
      </c>
      <c r="M27" s="121" t="str">
        <f t="shared" si="5"/>
        <v/>
      </c>
      <c r="N27" s="121" t="str">
        <f t="shared" si="6"/>
        <v>Calificación de planillas A y B de motopartes nacionales - Subdirección de Diseño y Administración de Operaciones - Grupo Registro de Productores de Bienes Nacionales</v>
      </c>
      <c r="O27" s="121" t="str">
        <f t="shared" si="7"/>
        <v/>
      </c>
      <c r="P27" s="121" t="str">
        <f t="shared" si="8"/>
        <v>Calificación de planillas A y B de motopartes nacionales - Subdirección de Diseño y Administración de Operaciones - Grupo Registro de Productores de Bienes Nacionales</v>
      </c>
      <c r="Q27" s="122"/>
    </row>
    <row r="28" spans="2:17" s="123" customFormat="1" ht="76.5" x14ac:dyDescent="0.25">
      <c r="B28" s="108">
        <v>22</v>
      </c>
      <c r="C28" s="183" t="s">
        <v>216</v>
      </c>
      <c r="D28" s="114" t="s">
        <v>44</v>
      </c>
      <c r="E28" s="115">
        <f>INDEX(Tiempo_Ult_Aud_Calif,MATCH('Priorización Tramites'!D28,Tiempo_Ult_Aud_Def,0))</f>
        <v>5</v>
      </c>
      <c r="F28" s="116" t="s">
        <v>76</v>
      </c>
      <c r="G28" s="118">
        <f t="shared" si="21"/>
        <v>5</v>
      </c>
      <c r="H28" s="116" t="s">
        <v>47</v>
      </c>
      <c r="I28" s="117">
        <f t="shared" si="1"/>
        <v>1</v>
      </c>
      <c r="J28" s="120">
        <f t="shared" si="2"/>
        <v>4.2</v>
      </c>
      <c r="K28" s="120" t="str">
        <f t="shared" si="69"/>
        <v>Extremo</v>
      </c>
      <c r="L28" s="118" t="str">
        <f t="shared" si="20"/>
        <v>Cada año</v>
      </c>
      <c r="M28" s="121" t="str">
        <f t="shared" si="5"/>
        <v>Cancelación total o parcial registros de importación - Subdirección de Diseño y Administración de Operaciones - VUCE</v>
      </c>
      <c r="N28" s="121" t="str">
        <f t="shared" si="6"/>
        <v>Cancelación total o parcial registros de importación - Subdirección de Diseño y Administración de Operaciones - VUCE</v>
      </c>
      <c r="O28" s="121" t="str">
        <f t="shared" si="7"/>
        <v>Cancelación total o parcial registros de importación - Subdirección de Diseño y Administración de Operaciones - VUCE</v>
      </c>
      <c r="P28" s="121" t="str">
        <f t="shared" si="8"/>
        <v>Cancelación total o parcial registros de importación - Subdirección de Diseño y Administración de Operaciones - VUCE</v>
      </c>
      <c r="Q28" s="122"/>
    </row>
    <row r="29" spans="2:17" s="123" customFormat="1" ht="76.5" x14ac:dyDescent="0.25">
      <c r="B29" s="108">
        <v>23</v>
      </c>
      <c r="C29" s="183" t="s">
        <v>217</v>
      </c>
      <c r="D29" s="114" t="s">
        <v>44</v>
      </c>
      <c r="E29" s="115">
        <f>INDEX(Tiempo_Ult_Aud_Calif,MATCH('Priorización Tramites'!D29,Tiempo_Ult_Aud_Def,0))</f>
        <v>5</v>
      </c>
      <c r="F29" s="116" t="s">
        <v>80</v>
      </c>
      <c r="G29" s="118">
        <f t="shared" ref="G29" si="97">INDEX(Impacto_Ppto_Calif,MATCH(F29,Impacto_Ppto_Def,0))</f>
        <v>1</v>
      </c>
      <c r="H29" s="116" t="s">
        <v>47</v>
      </c>
      <c r="I29" s="117">
        <f t="shared" ref="I29" si="98">INDEX(Nivel_Directivo_Calif,MATCH(H29,Nivel_Directivo_Def,0))</f>
        <v>1</v>
      </c>
      <c r="J29" s="120">
        <f t="shared" ref="J29" si="99">$E$5*E29+$G$5*G29+$I$5*I29</f>
        <v>2.2000000000000002</v>
      </c>
      <c r="K29" s="120" t="str">
        <f t="shared" ref="K29" si="100">LOOKUP(J29,Nivel_Criticidad)</f>
        <v>Moderado</v>
      </c>
      <c r="L29" s="118" t="str">
        <f t="shared" ref="L29" si="101">INDEX(Ciclo_Rotación_Calif,MATCH(K29,Ciclo_Rotación_Def,0))</f>
        <v>Cada 3 años</v>
      </c>
      <c r="M29" s="121" t="str">
        <f t="shared" ref="M29" si="102">IF(L29="Cada año",C29,"")</f>
        <v/>
      </c>
      <c r="N29" s="121" t="str">
        <f t="shared" ref="N29" si="103">IF(OR(L29="Cada año",L29="Cada 2 años"),C29,"")</f>
        <v/>
      </c>
      <c r="O29" s="121" t="str">
        <f t="shared" ref="O29" si="104">IF(OR(L29="Cada año",L29="Cada 3 años"),C29,"")</f>
        <v>Registro de importación y modificación del registro de importación - Subdirección de Diseño y Administración de  Operaciones - VUCE</v>
      </c>
      <c r="P29" s="121" t="str">
        <f t="shared" ref="P29" si="105">IF(OR(L29="Cada año",L29="Cada 2 años",L29="Cada 4 años"),C29,"")</f>
        <v/>
      </c>
      <c r="Q29" s="122"/>
    </row>
    <row r="30" spans="2:17" s="123" customFormat="1" ht="76.5" x14ac:dyDescent="0.25">
      <c r="B30" s="108">
        <v>24</v>
      </c>
      <c r="C30" s="183" t="s">
        <v>218</v>
      </c>
      <c r="D30" s="114" t="s">
        <v>44</v>
      </c>
      <c r="E30" s="115">
        <f>INDEX(Tiempo_Ult_Aud_Calif,MATCH('Priorización Tramites'!D30,Tiempo_Ult_Aud_Def,0))</f>
        <v>5</v>
      </c>
      <c r="F30" s="116" t="s">
        <v>80</v>
      </c>
      <c r="G30" s="118">
        <f t="shared" si="21"/>
        <v>1</v>
      </c>
      <c r="H30" s="116" t="s">
        <v>47</v>
      </c>
      <c r="I30" s="117">
        <f t="shared" si="1"/>
        <v>1</v>
      </c>
      <c r="J30" s="120">
        <f t="shared" si="2"/>
        <v>2.2000000000000002</v>
      </c>
      <c r="K30" s="120" t="str">
        <f t="shared" si="69"/>
        <v>Moderado</v>
      </c>
      <c r="L30" s="118" t="str">
        <f t="shared" si="20"/>
        <v>Cada 3 años</v>
      </c>
      <c r="M30" s="121" t="str">
        <f t="shared" si="5"/>
        <v/>
      </c>
      <c r="N30" s="121" t="str">
        <f t="shared" si="6"/>
        <v/>
      </c>
      <c r="O30" s="121" t="str">
        <f t="shared" si="7"/>
        <v>Renovación, adición o cambio de marca de la autorización de ensamble - Subdirección de Diseño y Administración de  Operaciones</v>
      </c>
      <c r="P30" s="121" t="str">
        <f t="shared" si="8"/>
        <v/>
      </c>
      <c r="Q30" s="122"/>
    </row>
    <row r="31" spans="2:17" s="138" customFormat="1" ht="13.5" thickBot="1" x14ac:dyDescent="0.25">
      <c r="B31" s="134"/>
      <c r="C31" s="135"/>
      <c r="D31" s="136"/>
      <c r="E31" s="136"/>
      <c r="F31" s="136"/>
      <c r="G31" s="136"/>
      <c r="H31" s="136"/>
      <c r="I31" s="136"/>
      <c r="J31" s="136"/>
      <c r="K31" s="136"/>
      <c r="L31" s="136"/>
      <c r="M31" s="136"/>
      <c r="N31" s="136"/>
      <c r="O31" s="136"/>
      <c r="P31" s="136"/>
      <c r="Q31" s="137"/>
    </row>
    <row r="32" spans="2:17" s="138" customFormat="1" x14ac:dyDescent="0.2">
      <c r="C32" s="139"/>
    </row>
    <row r="33" spans="2:3" s="138" customFormat="1" x14ac:dyDescent="0.2">
      <c r="B33" s="140" t="s">
        <v>172</v>
      </c>
      <c r="C33" s="139"/>
    </row>
    <row r="34" spans="2:3" s="138" customFormat="1" x14ac:dyDescent="0.2">
      <c r="C34" s="139"/>
    </row>
    <row r="35" spans="2:3" s="138" customFormat="1" x14ac:dyDescent="0.2">
      <c r="C35" s="139"/>
    </row>
    <row r="36" spans="2:3" s="138" customFormat="1" x14ac:dyDescent="0.2">
      <c r="C36" s="139"/>
    </row>
    <row r="37" spans="2:3" s="138" customFormat="1" x14ac:dyDescent="0.2">
      <c r="C37" s="139"/>
    </row>
    <row r="38" spans="2:3" s="138" customFormat="1" x14ac:dyDescent="0.2">
      <c r="C38" s="139"/>
    </row>
    <row r="39" spans="2:3" s="138" customFormat="1" x14ac:dyDescent="0.2">
      <c r="C39" s="139"/>
    </row>
    <row r="40" spans="2:3" s="138" customFormat="1" x14ac:dyDescent="0.2">
      <c r="C40" s="139"/>
    </row>
    <row r="41" spans="2:3" s="138" customFormat="1" x14ac:dyDescent="0.2">
      <c r="C41" s="139"/>
    </row>
    <row r="42" spans="2:3" s="138" customFormat="1" x14ac:dyDescent="0.2">
      <c r="C42" s="139"/>
    </row>
    <row r="43" spans="2:3" s="138" customFormat="1" x14ac:dyDescent="0.2">
      <c r="C43" s="139"/>
    </row>
    <row r="44" spans="2:3" s="138" customFormat="1" x14ac:dyDescent="0.2">
      <c r="C44" s="139"/>
    </row>
    <row r="45" spans="2:3" s="138" customFormat="1" x14ac:dyDescent="0.2">
      <c r="C45" s="139"/>
    </row>
    <row r="46" spans="2:3" s="138" customFormat="1" x14ac:dyDescent="0.2">
      <c r="C46" s="139"/>
    </row>
    <row r="47" spans="2:3" s="138" customFormat="1" x14ac:dyDescent="0.2">
      <c r="C47" s="139"/>
    </row>
    <row r="48" spans="2:3" s="138" customFormat="1" x14ac:dyDescent="0.2">
      <c r="C48" s="139"/>
    </row>
    <row r="49" spans="3:3" s="138" customFormat="1" x14ac:dyDescent="0.2">
      <c r="C49" s="139"/>
    </row>
    <row r="50" spans="3:3" s="138" customFormat="1" x14ac:dyDescent="0.2">
      <c r="C50" s="139"/>
    </row>
    <row r="51" spans="3:3" s="138" customFormat="1" x14ac:dyDescent="0.2">
      <c r="C51" s="139"/>
    </row>
    <row r="52" spans="3:3" s="138" customFormat="1" x14ac:dyDescent="0.2">
      <c r="C52" s="139"/>
    </row>
    <row r="53" spans="3:3" s="138" customFormat="1" x14ac:dyDescent="0.2">
      <c r="C53" s="139"/>
    </row>
    <row r="54" spans="3:3" s="138" customFormat="1" x14ac:dyDescent="0.2">
      <c r="C54" s="139"/>
    </row>
    <row r="55" spans="3:3" s="138" customFormat="1" x14ac:dyDescent="0.2">
      <c r="C55" s="139"/>
    </row>
    <row r="56" spans="3:3" s="138" customFormat="1" x14ac:dyDescent="0.2">
      <c r="C56" s="139"/>
    </row>
    <row r="57" spans="3:3" s="138" customFormat="1" x14ac:dyDescent="0.2">
      <c r="C57" s="139"/>
    </row>
    <row r="58" spans="3:3" s="138" customFormat="1" x14ac:dyDescent="0.2">
      <c r="C58" s="139"/>
    </row>
    <row r="59" spans="3:3" s="138" customFormat="1" x14ac:dyDescent="0.2">
      <c r="C59" s="139"/>
    </row>
    <row r="60" spans="3:3" s="138" customFormat="1" x14ac:dyDescent="0.2">
      <c r="C60" s="139"/>
    </row>
    <row r="61" spans="3:3" s="138" customFormat="1" x14ac:dyDescent="0.2">
      <c r="C61" s="139"/>
    </row>
    <row r="62" spans="3:3" s="138" customFormat="1" x14ac:dyDescent="0.2">
      <c r="C62" s="139"/>
    </row>
    <row r="63" spans="3:3" s="138" customFormat="1" x14ac:dyDescent="0.2">
      <c r="C63" s="139"/>
    </row>
    <row r="64" spans="3:3" s="138" customFormat="1" x14ac:dyDescent="0.2">
      <c r="C64" s="139"/>
    </row>
    <row r="65" spans="3:3" s="138" customFormat="1" x14ac:dyDescent="0.2">
      <c r="C65" s="139"/>
    </row>
    <row r="66" spans="3:3" s="138" customFormat="1" x14ac:dyDescent="0.2">
      <c r="C66" s="139"/>
    </row>
    <row r="67" spans="3:3" s="138" customFormat="1" x14ac:dyDescent="0.2">
      <c r="C67" s="139"/>
    </row>
    <row r="68" spans="3:3" s="138" customFormat="1" x14ac:dyDescent="0.2">
      <c r="C68" s="139"/>
    </row>
    <row r="69" spans="3:3" s="138" customFormat="1" x14ac:dyDescent="0.2">
      <c r="C69" s="139"/>
    </row>
    <row r="70" spans="3:3" s="138" customFormat="1" x14ac:dyDescent="0.2">
      <c r="C70" s="139"/>
    </row>
    <row r="71" spans="3:3" s="138" customFormat="1" x14ac:dyDescent="0.2">
      <c r="C71" s="139"/>
    </row>
    <row r="72" spans="3:3" s="138" customFormat="1" x14ac:dyDescent="0.2">
      <c r="C72" s="139"/>
    </row>
    <row r="73" spans="3:3" s="138" customFormat="1" x14ac:dyDescent="0.2">
      <c r="C73" s="139"/>
    </row>
    <row r="74" spans="3:3" s="138" customFormat="1" x14ac:dyDescent="0.2">
      <c r="C74" s="139"/>
    </row>
    <row r="75" spans="3:3" s="138" customFormat="1" x14ac:dyDescent="0.2">
      <c r="C75" s="139"/>
    </row>
    <row r="76" spans="3:3" s="138" customFormat="1" x14ac:dyDescent="0.2">
      <c r="C76" s="139"/>
    </row>
    <row r="77" spans="3:3" s="138" customFormat="1" x14ac:dyDescent="0.2">
      <c r="C77" s="139"/>
    </row>
    <row r="78" spans="3:3" s="138" customFormat="1" x14ac:dyDescent="0.2">
      <c r="C78" s="139"/>
    </row>
    <row r="79" spans="3:3" s="138" customFormat="1" x14ac:dyDescent="0.2">
      <c r="C79" s="139"/>
    </row>
    <row r="80" spans="3:3" s="138" customFormat="1" x14ac:dyDescent="0.2">
      <c r="C80" s="139"/>
    </row>
    <row r="81" spans="3:3" s="138" customFormat="1" x14ac:dyDescent="0.2">
      <c r="C81" s="139"/>
    </row>
    <row r="82" spans="3:3" s="138" customFormat="1" x14ac:dyDescent="0.2">
      <c r="C82" s="139"/>
    </row>
    <row r="83" spans="3:3" s="138" customFormat="1" x14ac:dyDescent="0.2">
      <c r="C83" s="139"/>
    </row>
    <row r="84" spans="3:3" s="138" customFormat="1" x14ac:dyDescent="0.2">
      <c r="C84" s="139"/>
    </row>
    <row r="85" spans="3:3" s="138" customFormat="1" x14ac:dyDescent="0.2">
      <c r="C85" s="139"/>
    </row>
    <row r="86" spans="3:3" s="138" customFormat="1" x14ac:dyDescent="0.2">
      <c r="C86" s="139"/>
    </row>
    <row r="87" spans="3:3" s="138" customFormat="1" x14ac:dyDescent="0.2">
      <c r="C87" s="139"/>
    </row>
    <row r="88" spans="3:3" s="138" customFormat="1" x14ac:dyDescent="0.2">
      <c r="C88" s="139"/>
    </row>
    <row r="89" spans="3:3" s="138" customFormat="1" x14ac:dyDescent="0.2">
      <c r="C89" s="139"/>
    </row>
    <row r="90" spans="3:3" s="138" customFormat="1" x14ac:dyDescent="0.2">
      <c r="C90" s="139"/>
    </row>
    <row r="91" spans="3:3" s="138" customFormat="1" x14ac:dyDescent="0.2">
      <c r="C91" s="139"/>
    </row>
    <row r="92" spans="3:3" s="138" customFormat="1" x14ac:dyDescent="0.2">
      <c r="C92" s="139"/>
    </row>
    <row r="93" spans="3:3" s="138" customFormat="1" x14ac:dyDescent="0.2">
      <c r="C93" s="139"/>
    </row>
    <row r="94" spans="3:3" s="138" customFormat="1" x14ac:dyDescent="0.2">
      <c r="C94" s="139"/>
    </row>
    <row r="95" spans="3:3" s="138" customFormat="1" x14ac:dyDescent="0.2">
      <c r="C95" s="139"/>
    </row>
    <row r="96" spans="3:3" s="138" customFormat="1" x14ac:dyDescent="0.2">
      <c r="C96" s="139"/>
    </row>
    <row r="97" spans="3:3" s="138" customFormat="1" x14ac:dyDescent="0.2">
      <c r="C97" s="139"/>
    </row>
    <row r="98" spans="3:3" s="138" customFormat="1" x14ac:dyDescent="0.2">
      <c r="C98" s="139"/>
    </row>
    <row r="99" spans="3:3" s="138" customFormat="1" x14ac:dyDescent="0.2">
      <c r="C99" s="139"/>
    </row>
    <row r="100" spans="3:3" s="138" customFormat="1" x14ac:dyDescent="0.2">
      <c r="C100" s="139"/>
    </row>
    <row r="101" spans="3:3" s="138" customFormat="1" x14ac:dyDescent="0.2">
      <c r="C101" s="139"/>
    </row>
    <row r="102" spans="3:3" s="138" customFormat="1" x14ac:dyDescent="0.2">
      <c r="C102" s="139"/>
    </row>
    <row r="103" spans="3:3" s="138" customFormat="1" x14ac:dyDescent="0.2">
      <c r="C103" s="139"/>
    </row>
    <row r="104" spans="3:3" s="138" customFormat="1" x14ac:dyDescent="0.2">
      <c r="C104" s="139"/>
    </row>
    <row r="105" spans="3:3" s="138" customFormat="1" x14ac:dyDescent="0.2">
      <c r="C105" s="139"/>
    </row>
    <row r="106" spans="3:3" s="138" customFormat="1" x14ac:dyDescent="0.2">
      <c r="C106" s="139"/>
    </row>
    <row r="107" spans="3:3" s="138" customFormat="1" x14ac:dyDescent="0.2">
      <c r="C107" s="139"/>
    </row>
    <row r="108" spans="3:3" s="138" customFormat="1" x14ac:dyDescent="0.2">
      <c r="C108" s="139"/>
    </row>
    <row r="109" spans="3:3" s="138" customFormat="1" x14ac:dyDescent="0.2">
      <c r="C109" s="139"/>
    </row>
    <row r="110" spans="3:3" s="138" customFormat="1" x14ac:dyDescent="0.2">
      <c r="C110" s="139"/>
    </row>
    <row r="111" spans="3:3" s="138" customFormat="1" x14ac:dyDescent="0.2">
      <c r="C111" s="139"/>
    </row>
    <row r="112" spans="3:3" s="138" customFormat="1" x14ac:dyDescent="0.2">
      <c r="C112" s="139"/>
    </row>
    <row r="113" spans="3:3" s="138" customFormat="1" x14ac:dyDescent="0.2">
      <c r="C113" s="139"/>
    </row>
    <row r="114" spans="3:3" s="138" customFormat="1" x14ac:dyDescent="0.2">
      <c r="C114" s="139"/>
    </row>
    <row r="115" spans="3:3" s="138" customFormat="1" x14ac:dyDescent="0.2">
      <c r="C115" s="139"/>
    </row>
    <row r="116" spans="3:3" s="138" customFormat="1" x14ac:dyDescent="0.2">
      <c r="C116" s="139"/>
    </row>
    <row r="117" spans="3:3" s="138" customFormat="1" x14ac:dyDescent="0.2">
      <c r="C117" s="139"/>
    </row>
    <row r="118" spans="3:3" s="138" customFormat="1" x14ac:dyDescent="0.2">
      <c r="C118" s="139"/>
    </row>
    <row r="119" spans="3:3" s="138" customFormat="1" x14ac:dyDescent="0.2">
      <c r="C119" s="139"/>
    </row>
    <row r="120" spans="3:3" s="138" customFormat="1" x14ac:dyDescent="0.2">
      <c r="C120" s="139"/>
    </row>
    <row r="121" spans="3:3" s="138" customFormat="1" x14ac:dyDescent="0.2">
      <c r="C121" s="139"/>
    </row>
    <row r="122" spans="3:3" s="138" customFormat="1" x14ac:dyDescent="0.2">
      <c r="C122" s="139"/>
    </row>
    <row r="123" spans="3:3" s="138" customFormat="1" x14ac:dyDescent="0.2">
      <c r="C123" s="139"/>
    </row>
    <row r="124" spans="3:3" s="138" customFormat="1" x14ac:dyDescent="0.2">
      <c r="C124" s="139"/>
    </row>
    <row r="125" spans="3:3" s="138" customFormat="1" x14ac:dyDescent="0.2">
      <c r="C125" s="139"/>
    </row>
    <row r="126" spans="3:3" s="138" customFormat="1" x14ac:dyDescent="0.2">
      <c r="C126" s="139"/>
    </row>
    <row r="127" spans="3:3" s="138" customFormat="1" x14ac:dyDescent="0.2">
      <c r="C127" s="139"/>
    </row>
    <row r="128" spans="3:3" s="138" customFormat="1" x14ac:dyDescent="0.2">
      <c r="C128" s="139"/>
    </row>
    <row r="129" spans="3:3" s="138" customFormat="1" x14ac:dyDescent="0.2">
      <c r="C129" s="139"/>
    </row>
    <row r="130" spans="3:3" s="138" customFormat="1" x14ac:dyDescent="0.2">
      <c r="C130" s="139"/>
    </row>
    <row r="131" spans="3:3" s="138" customFormat="1" x14ac:dyDescent="0.2">
      <c r="C131" s="139"/>
    </row>
    <row r="132" spans="3:3" s="138" customFormat="1" x14ac:dyDescent="0.2">
      <c r="C132" s="139"/>
    </row>
    <row r="133" spans="3:3" s="138" customFormat="1" x14ac:dyDescent="0.2">
      <c r="C133" s="139"/>
    </row>
    <row r="134" spans="3:3" s="138" customFormat="1" x14ac:dyDescent="0.2">
      <c r="C134" s="139"/>
    </row>
    <row r="135" spans="3:3" s="138" customFormat="1" x14ac:dyDescent="0.2">
      <c r="C135" s="139"/>
    </row>
    <row r="136" spans="3:3" s="138" customFormat="1" x14ac:dyDescent="0.2">
      <c r="C136" s="139"/>
    </row>
    <row r="137" spans="3:3" s="138" customFormat="1" x14ac:dyDescent="0.2">
      <c r="C137" s="139"/>
    </row>
    <row r="138" spans="3:3" s="138" customFormat="1" x14ac:dyDescent="0.2">
      <c r="C138" s="139"/>
    </row>
    <row r="139" spans="3:3" s="138" customFormat="1" x14ac:dyDescent="0.2">
      <c r="C139" s="139"/>
    </row>
    <row r="140" spans="3:3" s="138" customFormat="1" x14ac:dyDescent="0.2">
      <c r="C140" s="139"/>
    </row>
    <row r="141" spans="3:3" s="138" customFormat="1" x14ac:dyDescent="0.2">
      <c r="C141" s="139"/>
    </row>
    <row r="142" spans="3:3" s="138" customFormat="1" x14ac:dyDescent="0.2">
      <c r="C142" s="139"/>
    </row>
    <row r="143" spans="3:3" s="138" customFormat="1" x14ac:dyDescent="0.2">
      <c r="C143" s="139"/>
    </row>
    <row r="144" spans="3:3" s="138" customFormat="1" x14ac:dyDescent="0.2">
      <c r="C144" s="139"/>
    </row>
    <row r="145" spans="3:3" s="138" customFormat="1" x14ac:dyDescent="0.2">
      <c r="C145" s="139"/>
    </row>
    <row r="146" spans="3:3" s="138" customFormat="1" x14ac:dyDescent="0.2">
      <c r="C146" s="139"/>
    </row>
    <row r="147" spans="3:3" s="138" customFormat="1" x14ac:dyDescent="0.2">
      <c r="C147" s="139"/>
    </row>
    <row r="148" spans="3:3" s="138" customFormat="1" x14ac:dyDescent="0.2">
      <c r="C148" s="139"/>
    </row>
    <row r="149" spans="3:3" s="138" customFormat="1" x14ac:dyDescent="0.2">
      <c r="C149" s="139"/>
    </row>
    <row r="150" spans="3:3" s="138" customFormat="1" x14ac:dyDescent="0.2">
      <c r="C150" s="139"/>
    </row>
    <row r="151" spans="3:3" s="138" customFormat="1" x14ac:dyDescent="0.2">
      <c r="C151" s="139"/>
    </row>
    <row r="152" spans="3:3" s="138" customFormat="1" x14ac:dyDescent="0.2">
      <c r="C152" s="139"/>
    </row>
    <row r="153" spans="3:3" s="138" customFormat="1" x14ac:dyDescent="0.2">
      <c r="C153" s="139"/>
    </row>
    <row r="154" spans="3:3" s="138" customFormat="1" x14ac:dyDescent="0.2">
      <c r="C154" s="139"/>
    </row>
    <row r="155" spans="3:3" s="138" customFormat="1" x14ac:dyDescent="0.2">
      <c r="C155" s="139"/>
    </row>
    <row r="156" spans="3:3" s="138" customFormat="1" x14ac:dyDescent="0.2">
      <c r="C156" s="139"/>
    </row>
    <row r="157" spans="3:3" s="138" customFormat="1" x14ac:dyDescent="0.2">
      <c r="C157" s="139"/>
    </row>
    <row r="158" spans="3:3" s="138" customFormat="1" x14ac:dyDescent="0.2">
      <c r="C158" s="139"/>
    </row>
    <row r="159" spans="3:3" s="138" customFormat="1" x14ac:dyDescent="0.2">
      <c r="C159" s="139"/>
    </row>
    <row r="160" spans="3:3" s="138" customFormat="1" x14ac:dyDescent="0.2">
      <c r="C160" s="139"/>
    </row>
    <row r="161" spans="3:9" s="138" customFormat="1" x14ac:dyDescent="0.2">
      <c r="C161" s="139"/>
    </row>
    <row r="162" spans="3:9" s="138" customFormat="1" x14ac:dyDescent="0.2">
      <c r="C162" s="139"/>
    </row>
    <row r="163" spans="3:9" s="138" customFormat="1" x14ac:dyDescent="0.2">
      <c r="C163" s="139"/>
    </row>
    <row r="164" spans="3:9" s="138" customFormat="1" x14ac:dyDescent="0.2">
      <c r="C164" s="139"/>
    </row>
    <row r="165" spans="3:9" s="138" customFormat="1" x14ac:dyDescent="0.2">
      <c r="C165" s="139"/>
    </row>
    <row r="166" spans="3:9" s="138" customFormat="1" x14ac:dyDescent="0.2">
      <c r="C166" s="139"/>
    </row>
    <row r="167" spans="3:9" s="138" customFormat="1" x14ac:dyDescent="0.2">
      <c r="C167" s="139"/>
    </row>
    <row r="168" spans="3:9" s="138" customFormat="1" x14ac:dyDescent="0.2">
      <c r="C168" s="139"/>
    </row>
    <row r="169" spans="3:9" s="138" customFormat="1" x14ac:dyDescent="0.2">
      <c r="C169" s="139"/>
    </row>
    <row r="170" spans="3:9" s="138" customFormat="1" x14ac:dyDescent="0.2">
      <c r="C170" s="139"/>
    </row>
    <row r="171" spans="3:9" x14ac:dyDescent="0.2">
      <c r="H171" s="138"/>
      <c r="I171" s="138"/>
    </row>
    <row r="172" spans="3:9" x14ac:dyDescent="0.2">
      <c r="H172" s="138"/>
      <c r="I172" s="138"/>
    </row>
    <row r="173" spans="3:9" x14ac:dyDescent="0.2">
      <c r="H173" s="138"/>
      <c r="I173" s="138"/>
    </row>
    <row r="174" spans="3:9" x14ac:dyDescent="0.2">
      <c r="H174" s="138"/>
      <c r="I174" s="138"/>
    </row>
    <row r="175" spans="3:9" x14ac:dyDescent="0.2">
      <c r="H175" s="138"/>
      <c r="I175" s="138"/>
    </row>
    <row r="176" spans="3:9" x14ac:dyDescent="0.2">
      <c r="H176" s="138"/>
      <c r="I176" s="138"/>
    </row>
    <row r="177" spans="8:9" x14ac:dyDescent="0.2">
      <c r="H177" s="138"/>
      <c r="I177" s="138"/>
    </row>
    <row r="178" spans="8:9" x14ac:dyDescent="0.2">
      <c r="H178" s="138"/>
      <c r="I178" s="138"/>
    </row>
    <row r="179" spans="8:9" x14ac:dyDescent="0.2">
      <c r="H179" s="138"/>
      <c r="I179" s="138"/>
    </row>
    <row r="180" spans="8:9" x14ac:dyDescent="0.2">
      <c r="H180" s="138"/>
      <c r="I180" s="138"/>
    </row>
    <row r="181" spans="8:9" x14ac:dyDescent="0.2">
      <c r="H181" s="138"/>
      <c r="I181" s="138"/>
    </row>
    <row r="182" spans="8:9" x14ac:dyDescent="0.2">
      <c r="H182" s="138"/>
      <c r="I182" s="138"/>
    </row>
    <row r="183" spans="8:9" x14ac:dyDescent="0.2">
      <c r="H183" s="138"/>
      <c r="I183" s="138"/>
    </row>
    <row r="184" spans="8:9" x14ac:dyDescent="0.2">
      <c r="H184" s="138"/>
      <c r="I184" s="138"/>
    </row>
  </sheetData>
  <protectedRanges>
    <protectedRange algorithmName="SHA-512" hashValue="DEhtgLWWX1fGTfY6/jrV83UQn2eRyEcf52ixXqwJG1h9snypFLTtsrlTn4v+3Jfc8qsPtJTcbYO5FAd7DzT8Lw==" saltValue="QsONzCYV9PF/Cm9GQzUNrg==" spinCount="100000" sqref="L4 O4 E5 G5 B2:C4 C7:D30" name="Rango1"/>
    <protectedRange algorithmName="SHA-512" hashValue="DEhtgLWWX1fGTfY6/jrV83UQn2eRyEcf52ixXqwJG1h9snypFLTtsrlTn4v+3Jfc8qsPtJTcbYO5FAd7DzT8Lw==" saltValue="QsONzCYV9PF/Cm9GQzUNrg==" spinCount="100000" sqref="I5 H7:H30" name="Rango1_2"/>
  </protectedRanges>
  <mergeCells count="1">
    <mergeCell ref="D2:Q3"/>
  </mergeCells>
  <conditionalFormatting sqref="D7:E30">
    <cfRule type="containsText" dxfId="21" priority="5" operator="containsText" text="Extremo">
      <formula>NOT(ISERROR(SEARCH("Extremo",D7)))</formula>
    </cfRule>
    <cfRule type="containsText" dxfId="20" priority="6" operator="containsText" text="Muy Bajo">
      <formula>NOT(ISERROR(SEARCH("Muy Bajo",D7)))</formula>
    </cfRule>
    <cfRule type="containsText" dxfId="19" priority="7" operator="containsText" text="Bajo">
      <formula>NOT(ISERROR(SEARCH("Bajo",D7)))</formula>
    </cfRule>
    <cfRule type="containsText" dxfId="18" priority="8" operator="containsText" text="Moderado">
      <formula>NOT(ISERROR(SEARCH("Moderado",D7)))</formula>
    </cfRule>
    <cfRule type="containsText" dxfId="17" priority="9" operator="containsText" text="Alto">
      <formula>NOT(ISERROR(SEARCH("Alto",D7)))</formula>
    </cfRule>
    <cfRule type="containsText" dxfId="16" priority="10" operator="containsText" text="Muy Alto">
      <formula>NOT(ISERROR(SEARCH("Muy Alto",D7)))</formula>
    </cfRule>
  </conditionalFormatting>
  <conditionalFormatting sqref="J7:K30">
    <cfRule type="expression" dxfId="15" priority="1">
      <formula>$J7&gt;=4</formula>
    </cfRule>
    <cfRule type="expression" dxfId="14" priority="2">
      <formula>$J7&gt;=3</formula>
    </cfRule>
    <cfRule type="expression" dxfId="13" priority="3">
      <formula>$J7&gt;=2</formula>
    </cfRule>
    <cfRule type="expression" dxfId="12" priority="4">
      <formula>$J7&lt;2</formula>
    </cfRule>
  </conditionalFormatting>
  <dataValidations count="19">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O6" xr:uid="{FC9E353E-FDEA-4846-A7DC-B66A4540C91D}"/>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N6" xr:uid="{E1E0AB77-AA42-47CA-9382-B3C3E4D4D838}"/>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M6" xr:uid="{39BB9B60-DC89-4DA6-9240-8CC8330DE239}"/>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P6" xr:uid="{AF90EA4F-0A60-4819-ABD0-6C24498D7405}"/>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L6" xr:uid="{97BB4113-1EA1-48EE-99DC-901F67874211}"/>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K6" xr:uid="{57695520-AE62-4231-8745-21D00526E1E1}"/>
    <dataValidation allowBlank="1" showInputMessage="1" showErrorMessage="1" promptTitle="PONDERACION" prompt="FAVOR NO DILIGENCIAR ESTA COLUMNA._x000a_Acá aparecerá automáticamente el puntaje consolidado para el nivel de criticidad de cada aspecto evaluable." sqref="J6" xr:uid="{98F261B3-953C-4085-993A-C0AE4EC37811}"/>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F6:G6" xr:uid="{5D2B02D2-B7A5-4D11-A621-C61370693584}"/>
    <dataValidation allowBlank="1" showInputMessage="1" showErrorMessage="1" promptTitle="CALIFICACION TIEMPO ULTIMA AUDIT" prompt="FAVOR NO DILIGENCIAR ESTA COLUMNA. Esta calificación aparecerá automáticamente con base en la hoja &quot;parámetros&quot; establecidos." sqref="E6" xr:uid="{C83C9EE3-236C-4FD9-A695-BFAA8A5D8EBA}"/>
    <dataValidation allowBlank="1" showInputMessage="1" showErrorMessage="1" promptTitle="TIEMPO EN AÑOS" prompt="Seleccione de la lista desplegable los años transcurridos desde la última auditoría o en caso que nunca se haya auditado seleccione &gt;4años." sqref="D6" xr:uid="{357D5CDD-45A1-44DB-999A-8D491BBA21EA}"/>
    <dataValidation type="decimal" allowBlank="1" showInputMessage="1" showErrorMessage="1" promptTitle="PORCENTAJE VARIABLE" prompt="Puede cambiar este porcentaje, siempre y cuando la suma de los porcentajes de las 6 variables sumen 100%, y de acuerdo con la dinámica y complejidad de la entidad." sqref="E5 G5 I5" xr:uid="{4FD23059-CF54-4203-B6F4-CB97AAE009F4}">
      <formula1>0</formula1>
      <formula2>1</formula2>
    </dataValidation>
    <dataValidation allowBlank="1" showInputMessage="1" showErrorMessage="1" promptTitle="FECHA APROBACION" prompt="Registre la fecha de aprobación del Universo de Auditoría Basado en Riesgos, por parte del Comité de Control Interno o Comité de Auditoría." sqref="J4" xr:uid="{A75D492F-D308-4710-9E47-C2539321A457}"/>
    <dataValidation allowBlank="1" showInputMessage="1" showErrorMessage="1" promptTitle="LOGO Y NOBRE ENTIDAD" prompt="En este espacio inserte el logo de la entidad o escriba el nombre de la misma." sqref="C2" xr:uid="{CCA5470E-C673-4046-9574-3824F2726D72}"/>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C238C1AB-68A6-4D03-8B82-4DACCCE33D75}"/>
    <dataValidation allowBlank="1" showInputMessage="1" showErrorMessage="1" promptTitle="CALIFICACION INTERESES ALTA DIRE" prompt="FAVOR NO DILIGENCIAR ESTA COLUMNA. Esta calificación se generará automáticamente, respecto de los intereses de la alta dirección." sqref="I6" xr:uid="{A3DF44A1-D281-4D24-A4E8-91EEF59E7A9D}"/>
    <dataValidation allowBlank="1" showInputMessage="1" showErrorMessage="1" promptTitle="TEMAS INTERES DIRECTIVOS" prompt="Seleccione la cantidad de veces que a este tema le hacen seguimiento en Comités Directivos o de Control Interno. Si la temática es solicitada por la alta dirección, se añade directamente en el plan anual de auditoria, no se prioriza." sqref="H6" xr:uid="{1BCF68F1-E575-4550-90D1-B98CEDC75FEA}"/>
    <dataValidation type="list" allowBlank="1" showInputMessage="1" showErrorMessage="1" sqref="D7:D30" xr:uid="{90639960-E828-44CC-89E8-7C34CDD6A9E1}">
      <formula1>Tiempo_Ult_Aud_Def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H7:H30" xr:uid="{E7CA8709-1724-4B0B-9D8C-4B9A861B83C8}">
      <formula1>Nivel_Directivo_Def</formula1>
    </dataValidation>
    <dataValidation type="list" allowBlank="1" showInputMessage="1" showErrorMessage="1" sqref="F7:F30" xr:uid="{6FFB0D91-3E17-0242-A773-7DAFB80106E6}">
      <formula1>Impacto_Ppto_Def</formula1>
    </dataValidation>
  </dataValidations>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5418-CF5B-45C4-AD1E-92FB817EE03E}">
  <dimension ref="B3:F20"/>
  <sheetViews>
    <sheetView showGridLines="0" zoomScale="90" zoomScaleNormal="90" workbookViewId="0">
      <selection activeCell="Q26" sqref="Q26"/>
    </sheetView>
  </sheetViews>
  <sheetFormatPr baseColWidth="10" defaultColWidth="11.42578125" defaultRowHeight="15" x14ac:dyDescent="0.25"/>
  <cols>
    <col min="2" max="2" width="6.28515625" customWidth="1"/>
    <col min="3" max="3" width="18.28515625" customWidth="1"/>
    <col min="4" max="4" width="74.140625" customWidth="1"/>
    <col min="5" max="5" width="19.42578125" customWidth="1"/>
    <col min="6" max="6" width="21.85546875" bestFit="1" customWidth="1"/>
    <col min="7" max="7" width="24.7109375" customWidth="1"/>
  </cols>
  <sheetData>
    <row r="3" spans="2:6" ht="36" x14ac:dyDescent="0.25">
      <c r="B3" s="189" t="s">
        <v>219</v>
      </c>
      <c r="C3" s="189" t="s">
        <v>220</v>
      </c>
      <c r="D3" s="189" t="s">
        <v>221</v>
      </c>
      <c r="E3" s="190" t="s">
        <v>222</v>
      </c>
      <c r="F3" s="190" t="s">
        <v>223</v>
      </c>
    </row>
    <row r="4" spans="2:6" ht="54" x14ac:dyDescent="0.25">
      <c r="B4" s="161">
        <v>1</v>
      </c>
      <c r="C4" s="85" t="s">
        <v>224</v>
      </c>
      <c r="D4" s="86" t="str">
        <f>+'Priorización Procesos'!C20</f>
        <v>Administración, profundización y aprovechamiento de acuerdos y relaciones comerciales - Viceministerio de Comercio Exterior</v>
      </c>
      <c r="E4" s="159">
        <f>+'Priorización Procesos'!U20</f>
        <v>3.1500000000000004</v>
      </c>
      <c r="F4" s="87" t="str">
        <f>+'Priorización Procesos'!V20</f>
        <v>Alto</v>
      </c>
    </row>
    <row r="5" spans="2:6" ht="62.25" customHeight="1" x14ac:dyDescent="0.25">
      <c r="B5" s="161">
        <v>2</v>
      </c>
      <c r="C5" s="85" t="s">
        <v>224</v>
      </c>
      <c r="D5" s="86" t="str">
        <f>+'Priorización Procesos'!C23</f>
        <v>Fortalecimiento de la competitividad y promoción del turismo - Viceministerio de Turismo</v>
      </c>
      <c r="E5" s="160">
        <f>+'Priorización Procesos'!U23</f>
        <v>3.2</v>
      </c>
      <c r="F5" s="87" t="str">
        <f>+'Priorización Procesos'!V23</f>
        <v>Alto</v>
      </c>
    </row>
    <row r="6" spans="2:6" ht="18" x14ac:dyDescent="0.25">
      <c r="B6" s="161">
        <v>3</v>
      </c>
      <c r="C6" s="85" t="s">
        <v>224</v>
      </c>
      <c r="D6" s="86" t="str">
        <f>+'Priorización Procesos'!C24</f>
        <v>Gestión del talento humano</v>
      </c>
      <c r="E6" s="160">
        <f>+'Priorización Procesos'!U24</f>
        <v>3</v>
      </c>
      <c r="F6" s="87" t="str">
        <f>+'Priorización Procesos'!V24</f>
        <v>Alto</v>
      </c>
    </row>
    <row r="7" spans="2:6" ht="72" x14ac:dyDescent="0.25">
      <c r="B7" s="161">
        <v>4</v>
      </c>
      <c r="C7" s="85" t="s">
        <v>225</v>
      </c>
      <c r="D7" s="86" t="str">
        <f>+'Priorización Proyectos'!C12</f>
        <v>Fortalecimiento de las capacidades empresariales para el desarrollo productivo sostenible e incluyente a nivel nacional – MiPymes - $79.362.825.000</v>
      </c>
      <c r="E7" s="160">
        <f>+'Priorización Proyectos'!H12</f>
        <v>5</v>
      </c>
      <c r="F7" s="87" t="str">
        <f>+'Priorización Proyectos'!I12</f>
        <v>Extremo</v>
      </c>
    </row>
    <row r="8" spans="2:6" ht="90" x14ac:dyDescent="0.25">
      <c r="B8" s="161">
        <v>5</v>
      </c>
      <c r="C8" s="85" t="s">
        <v>225</v>
      </c>
      <c r="D8" s="86" t="str">
        <f>+'Priorización Proyectos'!C9</f>
        <v>Fortalecimiento de los estándares de calidad en la infraestructura productiva nacional a partir del reconocimiento y desarrollo nacional e internacional del Subsistema Nacional de la Calidad Nacional – Regulación - $9.000.000.000</v>
      </c>
      <c r="E8" s="160">
        <f>+'Priorización Proyectos'!H9</f>
        <v>4.5</v>
      </c>
      <c r="F8" s="158" t="str">
        <f>+'Priorización Proyectos'!I9</f>
        <v>Extremo</v>
      </c>
    </row>
    <row r="9" spans="2:6" ht="108" x14ac:dyDescent="0.25">
      <c r="B9" s="161">
        <v>6</v>
      </c>
      <c r="C9" s="85" t="s">
        <v>225</v>
      </c>
      <c r="D9" s="86" t="str">
        <f>+'Priorización Proyectos'!C11</f>
        <v>Fortalecimiento del entorno competitivo en la industria a nivel nacional, propiciando un escenario sostenible que garantice la transparencia, coherencia, calidad de normas y trámites en aras de fortalecer el crecimiento del país – Regulación - $3.500.000.000</v>
      </c>
      <c r="E9" s="160">
        <f>+'Priorización Proyectos'!H11</f>
        <v>4</v>
      </c>
      <c r="F9" s="158" t="str">
        <f>+'Priorización Proyectos'!I11</f>
        <v>Extremo</v>
      </c>
    </row>
    <row r="10" spans="2:6" ht="72" x14ac:dyDescent="0.25">
      <c r="B10" s="161">
        <v>7</v>
      </c>
      <c r="C10" s="85" t="s">
        <v>225</v>
      </c>
      <c r="D10" s="86" t="str">
        <f>+'Priorización Proyectos'!C14</f>
        <v>Desarrollo sostenible y responsable del turismo incluyente para consolidar a Colombia como el país de la belleza nacional - Vice Turismo - $6.500.000.000</v>
      </c>
      <c r="E10" s="160">
        <f>+'Priorización Proyectos'!H14</f>
        <v>4</v>
      </c>
      <c r="F10" s="158" t="str">
        <f>+'Priorización Proyectos'!I14</f>
        <v>Extremo</v>
      </c>
    </row>
    <row r="11" spans="2:6" ht="72" x14ac:dyDescent="0.25">
      <c r="B11" s="161">
        <v>8</v>
      </c>
      <c r="C11" s="85" t="s">
        <v>225</v>
      </c>
      <c r="D11" s="86" t="str">
        <f>+'Priorización Proyectos'!C17</f>
        <v>Ampliación de la capacidad de los servicios de las tecnologías de información en el MINCIT nacional - Oficina de Sistemas de Información - 6.500.000.000</v>
      </c>
      <c r="E11" s="160">
        <f>+'Priorización Proyectos'!H17</f>
        <v>4</v>
      </c>
      <c r="F11" s="158" t="str">
        <f>+'Priorización Proyectos'!I17</f>
        <v>Extremo</v>
      </c>
    </row>
    <row r="12" spans="2:6" ht="126" x14ac:dyDescent="0.25">
      <c r="B12" s="161">
        <v>9</v>
      </c>
      <c r="C12" s="85" t="s">
        <v>225</v>
      </c>
      <c r="D12" s="86" t="str">
        <f>+'Priorización Proyectos'!C18</f>
        <v>Fortalecimiento diseño, implementación y sostenibilidad del modelo de gestión para el desarrollo integral del talento humano y relacionamiento con la ciudadanía en el Ministerio de Comercio, Industria y Turismo Bogotá – Secretaría General Talento Humano - $4.000.000.000</v>
      </c>
      <c r="E12" s="160">
        <f>+'Priorización Proyectos'!H18</f>
        <v>4</v>
      </c>
      <c r="F12" s="158" t="str">
        <f>+'Priorización Proyectos'!I18</f>
        <v>Extremo</v>
      </c>
    </row>
    <row r="13" spans="2:6" s="25" customFormat="1" ht="72" x14ac:dyDescent="0.25">
      <c r="B13" s="161">
        <v>10</v>
      </c>
      <c r="C13" s="85" t="s">
        <v>225</v>
      </c>
      <c r="D13" s="86" t="str">
        <f>+'Priorización Proyectos'!C20</f>
        <v>Aprovechamiento del potencial de atracción de inversión extranjera directa (IED) del país nacional - Dirección de Inversión Extranjera - $7.000.000.000</v>
      </c>
      <c r="E13" s="160">
        <f>+'Priorización Proyectos'!H20</f>
        <v>3</v>
      </c>
      <c r="F13" s="87" t="str">
        <f>+'Priorización Proyectos'!I20</f>
        <v>Alto</v>
      </c>
    </row>
    <row r="14" spans="2:6" ht="18" x14ac:dyDescent="0.25">
      <c r="B14" s="161">
        <v>11</v>
      </c>
      <c r="C14" s="85" t="s">
        <v>226</v>
      </c>
      <c r="D14" s="86" t="str">
        <f>+'Priorización Patrimonio Aut'!C7</f>
        <v>Patrimonio Autónomo INNPULSA Colombia</v>
      </c>
      <c r="E14" s="160">
        <f>+'Priorización Patrimonio Aut'!H7</f>
        <v>3.5</v>
      </c>
      <c r="F14" s="87" t="str">
        <f>+'Priorización Patrimonio Aut'!I7</f>
        <v>Alto</v>
      </c>
    </row>
    <row r="15" spans="2:6" ht="18" x14ac:dyDescent="0.25">
      <c r="B15" s="161">
        <v>12</v>
      </c>
      <c r="C15" s="85" t="s">
        <v>226</v>
      </c>
      <c r="D15" s="86" t="str">
        <f>+'Priorización Patrimonio Aut'!C9</f>
        <v>Patrimonio Autónomo Procolombia</v>
      </c>
      <c r="E15" s="160">
        <f>+'Priorización Patrimonio Aut'!H9</f>
        <v>3.5</v>
      </c>
      <c r="F15" s="87" t="str">
        <f>+'Priorización Patrimonio Aut'!I9</f>
        <v>Alto</v>
      </c>
    </row>
    <row r="16" spans="2:6" ht="18" x14ac:dyDescent="0.25">
      <c r="B16" s="161">
        <v>13</v>
      </c>
      <c r="C16" s="85" t="s">
        <v>226</v>
      </c>
      <c r="D16" s="86" t="str">
        <f>+'Priorización Patrimonio Aut'!C8</f>
        <v>Patrimonio Autónomo FONTUR</v>
      </c>
      <c r="E16" s="160">
        <f>+'Priorización Patrimonio Aut'!H8</f>
        <v>3</v>
      </c>
      <c r="F16" s="87" t="str">
        <f>+'Priorización Patrimonio Aut'!I8</f>
        <v>Alto</v>
      </c>
    </row>
    <row r="17" spans="2:6" ht="54" x14ac:dyDescent="0.25">
      <c r="B17" s="161">
        <v>14</v>
      </c>
      <c r="C17" s="85" t="s">
        <v>108</v>
      </c>
      <c r="D17" s="86" t="str">
        <f>+'Priorización Tramites'!C28</f>
        <v>Cancelación total o parcial registros de importación - Subdirección de Diseño y Administración de Operaciones - VUCE</v>
      </c>
      <c r="E17" s="160">
        <f>+'Priorización Tramites'!J28</f>
        <v>4.2</v>
      </c>
      <c r="F17" s="87" t="str">
        <f>+'Priorización Tramites'!K28</f>
        <v>Extremo</v>
      </c>
    </row>
    <row r="18" spans="2:6" ht="72" x14ac:dyDescent="0.25">
      <c r="B18" s="161">
        <v>15</v>
      </c>
      <c r="C18" s="85" t="s">
        <v>108</v>
      </c>
      <c r="D18" s="86" t="str">
        <f>+'Priorización Tramites'!C21</f>
        <v>Aprobación o modificación de licencias de importación - Subdirección de Diseño y Administración de Operaciones – Comité de Importaciones.</v>
      </c>
      <c r="E18" s="160">
        <f>+'Priorización Tramites'!J21</f>
        <v>3.7</v>
      </c>
      <c r="F18" s="87" t="str">
        <f>+'Priorización Tramites'!K21</f>
        <v>Alto</v>
      </c>
    </row>
    <row r="19" spans="2:6" ht="72" x14ac:dyDescent="0.25">
      <c r="B19" s="161">
        <v>16</v>
      </c>
      <c r="C19" s="85" t="s">
        <v>108</v>
      </c>
      <c r="D19" s="86" t="str">
        <f>+'Priorización Tramites'!C27</f>
        <v>Calificación de planillas A y B de motopartes nacionales - Subdirección de Diseño y Administración de Operaciones - Grupo Registro de Productores de Bienes Nacionales</v>
      </c>
      <c r="E19" s="160">
        <f>+'Priorización Tramites'!J27</f>
        <v>3.7</v>
      </c>
      <c r="F19" s="87" t="str">
        <f>+'Priorización Tramites'!K27</f>
        <v>Alto</v>
      </c>
    </row>
    <row r="20" spans="2:6" ht="90" x14ac:dyDescent="0.25">
      <c r="B20" s="161">
        <v>17</v>
      </c>
      <c r="C20" s="85" t="s">
        <v>108</v>
      </c>
      <c r="D20" s="86" t="str">
        <f>+'Priorización Tramites'!C24</f>
        <v>Registro de productores de bienes nacionales - Subdirección de
Diseño y Administración de Operaciones - Grupo Registro de
Productores de Bienes Nacionales</v>
      </c>
      <c r="E20" s="160">
        <f>+'Priorización Tramites'!J24</f>
        <v>3.4</v>
      </c>
      <c r="F20" s="87" t="str">
        <f>+'Priorización Tramites'!K24</f>
        <v>Alto</v>
      </c>
    </row>
  </sheetData>
  <conditionalFormatting sqref="F4:F7">
    <cfRule type="containsText" dxfId="11" priority="1" operator="containsText" text="Extremo">
      <formula>NOT(ISERROR(SEARCH("Extremo",F4)))</formula>
    </cfRule>
    <cfRule type="containsText" dxfId="10" priority="2" operator="containsText" text="Muy Bajo">
      <formula>NOT(ISERROR(SEARCH("Muy Bajo",F4)))</formula>
    </cfRule>
    <cfRule type="containsText" dxfId="9" priority="3" operator="containsText" text="Bajo">
      <formula>NOT(ISERROR(SEARCH("Bajo",F4)))</formula>
    </cfRule>
    <cfRule type="containsText" dxfId="8" priority="4" operator="containsText" text="Moderado">
      <formula>NOT(ISERROR(SEARCH("Moderado",F4)))</formula>
    </cfRule>
    <cfRule type="containsText" dxfId="7" priority="5" operator="containsText" text="Alto">
      <formula>NOT(ISERROR(SEARCH("Alto",F4)))</formula>
    </cfRule>
    <cfRule type="containsText" dxfId="6" priority="6" operator="containsText" text="Muy Alto">
      <formula>NOT(ISERROR(SEARCH("Muy Alto",F4)))</formula>
    </cfRule>
  </conditionalFormatting>
  <conditionalFormatting sqref="F13:F20">
    <cfRule type="containsText" dxfId="5" priority="7" operator="containsText" text="Extremo">
      <formula>NOT(ISERROR(SEARCH("Extremo",F13)))</formula>
    </cfRule>
    <cfRule type="containsText" dxfId="4" priority="8" operator="containsText" text="Muy Bajo">
      <formula>NOT(ISERROR(SEARCH("Muy Bajo",F13)))</formula>
    </cfRule>
    <cfRule type="containsText" dxfId="3" priority="9" operator="containsText" text="Bajo">
      <formula>NOT(ISERROR(SEARCH("Bajo",F13)))</formula>
    </cfRule>
    <cfRule type="containsText" dxfId="2" priority="10" operator="containsText" text="Moderado">
      <formula>NOT(ISERROR(SEARCH("Moderado",F13)))</formula>
    </cfRule>
    <cfRule type="containsText" dxfId="1" priority="11" operator="containsText" text="Alto">
      <formula>NOT(ISERROR(SEARCH("Alto",F13)))</formula>
    </cfRule>
    <cfRule type="containsText" dxfId="0" priority="12" operator="containsText" text="Muy Alto">
      <formula>NOT(ISERROR(SEARCH("Muy Alto",F13)))</formula>
    </cfRule>
  </conditionalFormatting>
  <pageMargins left="0.70866141732283472" right="0.70866141732283472" top="0.74803149606299213" bottom="0.74803149606299213" header="0.31496062992125984" footer="0.31496062992125984"/>
  <pageSetup paperSize="9" orientation="portrait" r:id="rId1"/>
  <headerFooter>
    <oddFooter>&amp;LProceso: evaluación y Seguimiento&amp;RPágina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258" t="s">
        <v>227</v>
      </c>
      <c r="C2" s="259"/>
      <c r="D2" s="259"/>
      <c r="E2" s="259"/>
      <c r="F2" s="260"/>
    </row>
    <row r="3" spans="2:6" ht="14.45" customHeight="1" x14ac:dyDescent="0.25">
      <c r="B3" s="261"/>
      <c r="C3" s="262"/>
      <c r="D3" s="262"/>
      <c r="E3" s="262"/>
      <c r="F3" s="263"/>
    </row>
    <row r="4" spans="2:6" ht="14.45" customHeight="1" thickBot="1" x14ac:dyDescent="0.3">
      <c r="B4" s="264"/>
      <c r="C4" s="265"/>
      <c r="D4" s="265"/>
      <c r="E4" s="265"/>
      <c r="F4" s="266"/>
    </row>
    <row r="5" spans="2:6" ht="16.5" thickBot="1" x14ac:dyDescent="0.3">
      <c r="B5" s="267" t="s">
        <v>228</v>
      </c>
      <c r="C5" s="268"/>
      <c r="D5" s="291"/>
      <c r="E5" s="292"/>
      <c r="F5" s="293"/>
    </row>
    <row r="6" spans="2:6" ht="5.0999999999999996" customHeight="1" thickBot="1" x14ac:dyDescent="0.3">
      <c r="B6" s="37"/>
      <c r="C6" s="37"/>
      <c r="D6" s="37"/>
      <c r="E6" s="37"/>
      <c r="F6" s="26"/>
    </row>
    <row r="7" spans="2:6" ht="15" customHeight="1" x14ac:dyDescent="0.25">
      <c r="B7" s="269" t="s">
        <v>229</v>
      </c>
      <c r="C7" s="269" t="s">
        <v>230</v>
      </c>
      <c r="D7" s="269" t="s">
        <v>231</v>
      </c>
      <c r="E7" s="271" t="s">
        <v>232</v>
      </c>
      <c r="F7" s="269" t="s">
        <v>233</v>
      </c>
    </row>
    <row r="8" spans="2:6" ht="43.7" customHeight="1" thickBot="1" x14ac:dyDescent="0.3">
      <c r="B8" s="270"/>
      <c r="C8" s="270"/>
      <c r="D8" s="270"/>
      <c r="E8" s="272"/>
      <c r="F8" s="270"/>
    </row>
    <row r="9" spans="2:6" ht="15.6" customHeight="1" x14ac:dyDescent="0.25">
      <c r="B9" s="296" t="s">
        <v>234</v>
      </c>
      <c r="C9" s="294"/>
      <c r="D9" s="294" t="s">
        <v>235</v>
      </c>
      <c r="E9" s="298">
        <v>10</v>
      </c>
      <c r="F9" s="301" t="s">
        <v>236</v>
      </c>
    </row>
    <row r="10" spans="2:6" x14ac:dyDescent="0.25">
      <c r="B10" s="297"/>
      <c r="C10" s="295"/>
      <c r="D10" s="295"/>
      <c r="E10" s="299"/>
      <c r="F10" s="302"/>
    </row>
    <row r="11" spans="2:6" x14ac:dyDescent="0.25">
      <c r="B11" s="297" t="s">
        <v>234</v>
      </c>
      <c r="C11" s="295"/>
      <c r="D11" s="295" t="s">
        <v>235</v>
      </c>
      <c r="E11" s="300">
        <v>10</v>
      </c>
      <c r="F11" s="302" t="s">
        <v>237</v>
      </c>
    </row>
    <row r="12" spans="2:6" x14ac:dyDescent="0.25">
      <c r="B12" s="297"/>
      <c r="C12" s="295"/>
      <c r="D12" s="295"/>
      <c r="E12" s="300"/>
      <c r="F12" s="302"/>
    </row>
    <row r="13" spans="2:6" ht="15.75" thickBot="1" x14ac:dyDescent="0.3">
      <c r="B13" s="57"/>
      <c r="C13" s="23"/>
      <c r="D13" s="23"/>
      <c r="E13" s="35"/>
      <c r="F13" s="36"/>
    </row>
    <row r="14" spans="2:6" ht="15.75" thickBot="1" x14ac:dyDescent="0.3">
      <c r="B14" s="273" t="s">
        <v>238</v>
      </c>
      <c r="C14" s="274"/>
      <c r="D14" s="275"/>
      <c r="E14" s="20">
        <f>SUM(E9:E13)</f>
        <v>20</v>
      </c>
      <c r="F14" s="19"/>
    </row>
    <row r="15" spans="2:6" ht="15.75" thickBot="1" x14ac:dyDescent="0.3">
      <c r="B15" s="276" t="s">
        <v>239</v>
      </c>
      <c r="C15" s="277"/>
      <c r="D15" s="278"/>
      <c r="E15" s="21"/>
      <c r="F15" s="18"/>
    </row>
    <row r="16" spans="2:6" ht="15.75" thickBot="1" x14ac:dyDescent="0.3">
      <c r="B16" s="279" t="s">
        <v>240</v>
      </c>
      <c r="C16" s="280"/>
      <c r="D16" s="281"/>
      <c r="E16" s="22"/>
      <c r="F16" s="11"/>
    </row>
    <row r="17" spans="2:7" x14ac:dyDescent="0.25">
      <c r="B17" s="282" t="s">
        <v>241</v>
      </c>
      <c r="C17" s="283"/>
      <c r="D17" s="283"/>
      <c r="E17" s="283"/>
      <c r="F17" s="284"/>
    </row>
    <row r="18" spans="2:7" x14ac:dyDescent="0.25">
      <c r="B18" s="285"/>
      <c r="C18" s="286"/>
      <c r="D18" s="286"/>
      <c r="E18" s="286"/>
      <c r="F18" s="287"/>
    </row>
    <row r="19" spans="2:7" ht="15.75" thickBot="1" x14ac:dyDescent="0.3">
      <c r="B19" s="288"/>
      <c r="C19" s="289"/>
      <c r="D19" s="289"/>
      <c r="E19" s="289"/>
      <c r="F19" s="290"/>
    </row>
    <row r="20" spans="2:7" x14ac:dyDescent="0.25">
      <c r="B20" s="12"/>
      <c r="C20" s="12"/>
      <c r="D20" s="12"/>
      <c r="E20" s="12"/>
      <c r="F20" s="12"/>
    </row>
    <row r="21" spans="2:7" x14ac:dyDescent="0.25">
      <c r="B21" s="56" t="s">
        <v>242</v>
      </c>
    </row>
    <row r="23" spans="2:7" x14ac:dyDescent="0.25">
      <c r="C23" s="24"/>
      <c r="D23" s="24"/>
      <c r="E23" s="25"/>
      <c r="F23" s="25"/>
      <c r="G23" s="25"/>
    </row>
    <row r="24" spans="2:7" x14ac:dyDescent="0.25">
      <c r="D24" s="2"/>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xr:uid="{00000000-0002-0000-0200-000000000000}">
      <formula1>"Si,No"</formula1>
    </dataValidation>
    <dataValidation type="list" allowBlank="1" showInputMessage="1" showErrorMessage="1" sqref="D9:D12" xr:uid="{00000000-0002-0000-02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303" t="s">
        <v>243</v>
      </c>
      <c r="C2" s="259"/>
      <c r="D2" s="259"/>
      <c r="E2" s="259"/>
      <c r="F2" s="259"/>
      <c r="G2" s="259"/>
      <c r="H2" s="259"/>
      <c r="I2" s="259"/>
      <c r="J2" s="259"/>
      <c r="K2" s="259"/>
      <c r="L2" s="259"/>
      <c r="M2" s="259"/>
      <c r="N2" s="259"/>
      <c r="O2" s="259"/>
      <c r="P2" s="259"/>
      <c r="Q2" s="259"/>
      <c r="R2" s="259"/>
      <c r="S2" s="259"/>
      <c r="T2" s="260"/>
    </row>
    <row r="3" spans="2:20" ht="14.45" customHeight="1" x14ac:dyDescent="0.25">
      <c r="B3" s="304"/>
      <c r="C3" s="262"/>
      <c r="D3" s="262"/>
      <c r="E3" s="262"/>
      <c r="F3" s="262"/>
      <c r="G3" s="262"/>
      <c r="H3" s="262"/>
      <c r="I3" s="262"/>
      <c r="J3" s="262"/>
      <c r="K3" s="262"/>
      <c r="L3" s="262"/>
      <c r="M3" s="262"/>
      <c r="N3" s="262"/>
      <c r="O3" s="262"/>
      <c r="P3" s="262"/>
      <c r="Q3" s="262"/>
      <c r="R3" s="262"/>
      <c r="S3" s="262"/>
      <c r="T3" s="263"/>
    </row>
    <row r="4" spans="2:20" ht="14.45" customHeight="1" thickBot="1" x14ac:dyDescent="0.3">
      <c r="B4" s="305"/>
      <c r="C4" s="306"/>
      <c r="D4" s="306"/>
      <c r="E4" s="306"/>
      <c r="F4" s="306"/>
      <c r="G4" s="306"/>
      <c r="H4" s="306"/>
      <c r="I4" s="306"/>
      <c r="J4" s="306"/>
      <c r="K4" s="306"/>
      <c r="L4" s="306"/>
      <c r="M4" s="306"/>
      <c r="N4" s="306"/>
      <c r="O4" s="306"/>
      <c r="P4" s="306"/>
      <c r="Q4" s="306"/>
      <c r="R4" s="306"/>
      <c r="S4" s="306"/>
      <c r="T4" s="307"/>
    </row>
    <row r="5" spans="2:20" ht="16.5" thickBot="1" x14ac:dyDescent="0.3">
      <c r="B5" s="308" t="s">
        <v>244</v>
      </c>
      <c r="C5" s="309"/>
      <c r="D5" s="309"/>
      <c r="E5" s="309"/>
      <c r="F5" s="309"/>
      <c r="G5" s="309"/>
      <c r="H5" s="309"/>
      <c r="I5" s="309"/>
      <c r="J5" s="309"/>
      <c r="K5" s="309"/>
      <c r="L5" s="309"/>
      <c r="M5" s="309"/>
      <c r="N5" s="309"/>
      <c r="O5" s="309"/>
      <c r="P5" s="309"/>
      <c r="Q5" s="309"/>
      <c r="R5" s="309"/>
      <c r="S5" s="309"/>
      <c r="T5" s="310"/>
    </row>
    <row r="6" spans="2:20" ht="16.5" thickBot="1" x14ac:dyDescent="0.3">
      <c r="B6" s="267" t="s">
        <v>228</v>
      </c>
      <c r="C6" s="268"/>
      <c r="D6" s="14"/>
      <c r="E6" s="311"/>
      <c r="F6" s="312"/>
      <c r="G6" s="312"/>
      <c r="H6" s="312"/>
      <c r="I6" s="312"/>
      <c r="J6" s="312"/>
      <c r="K6" s="312"/>
      <c r="L6" s="312"/>
      <c r="M6" s="312"/>
      <c r="N6" s="312"/>
      <c r="O6" s="312"/>
      <c r="P6" s="312"/>
      <c r="Q6" s="312"/>
      <c r="R6" s="312"/>
      <c r="S6" s="312"/>
      <c r="T6" s="313"/>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269" t="s">
        <v>245</v>
      </c>
      <c r="C8" s="269" t="s">
        <v>230</v>
      </c>
      <c r="D8" s="269" t="s">
        <v>231</v>
      </c>
      <c r="E8" s="318" t="s">
        <v>232</v>
      </c>
      <c r="F8" s="269" t="s">
        <v>246</v>
      </c>
      <c r="G8" s="269" t="s">
        <v>247</v>
      </c>
      <c r="H8" s="315" t="s">
        <v>248</v>
      </c>
      <c r="I8" s="316"/>
      <c r="J8" s="316"/>
      <c r="K8" s="316"/>
      <c r="L8" s="316"/>
      <c r="M8" s="316"/>
      <c r="N8" s="316"/>
      <c r="O8" s="316"/>
      <c r="P8" s="316"/>
      <c r="Q8" s="316"/>
      <c r="R8" s="316"/>
      <c r="S8" s="316"/>
      <c r="T8" s="317"/>
    </row>
    <row r="9" spans="2:20" ht="43.7" customHeight="1" thickBot="1" x14ac:dyDescent="0.3">
      <c r="B9" s="314"/>
      <c r="C9" s="314"/>
      <c r="D9" s="314"/>
      <c r="E9" s="319"/>
      <c r="F9" s="314"/>
      <c r="G9" s="314"/>
      <c r="H9" s="3" t="s">
        <v>249</v>
      </c>
      <c r="I9" s="4" t="s">
        <v>250</v>
      </c>
      <c r="J9" s="5" t="s">
        <v>251</v>
      </c>
      <c r="K9" s="5" t="s">
        <v>252</v>
      </c>
      <c r="L9" s="5" t="s">
        <v>253</v>
      </c>
      <c r="M9" s="5" t="s">
        <v>254</v>
      </c>
      <c r="N9" s="5" t="s">
        <v>255</v>
      </c>
      <c r="O9" s="5" t="s">
        <v>256</v>
      </c>
      <c r="P9" s="5" t="s">
        <v>257</v>
      </c>
      <c r="Q9" s="5" t="s">
        <v>258</v>
      </c>
      <c r="R9" s="5" t="s">
        <v>259</v>
      </c>
      <c r="S9" s="5" t="s">
        <v>260</v>
      </c>
      <c r="T9" s="6" t="s">
        <v>261</v>
      </c>
    </row>
    <row r="10" spans="2:20" ht="15" customHeight="1" x14ac:dyDescent="0.25">
      <c r="B10" s="329" t="s">
        <v>234</v>
      </c>
      <c r="C10" s="329"/>
      <c r="D10" s="334" t="s">
        <v>235</v>
      </c>
      <c r="E10" s="335"/>
      <c r="F10" s="327"/>
      <c r="G10" s="323"/>
      <c r="H10" s="42" t="s">
        <v>262</v>
      </c>
      <c r="I10" s="39"/>
      <c r="J10" s="29"/>
      <c r="K10" s="29"/>
      <c r="L10" s="29"/>
      <c r="M10" s="29"/>
      <c r="N10" s="29"/>
      <c r="O10" s="29"/>
      <c r="P10" s="29"/>
      <c r="Q10" s="29"/>
      <c r="R10" s="29"/>
      <c r="S10" s="29"/>
      <c r="T10" s="30"/>
    </row>
    <row r="11" spans="2:20" x14ac:dyDescent="0.25">
      <c r="B11" s="330"/>
      <c r="C11" s="330"/>
      <c r="D11" s="333"/>
      <c r="E11" s="336"/>
      <c r="F11" s="328"/>
      <c r="G11" s="324"/>
      <c r="H11" s="43" t="s">
        <v>262</v>
      </c>
      <c r="I11" s="40"/>
      <c r="J11" s="7"/>
      <c r="K11" s="7"/>
      <c r="L11" s="7"/>
      <c r="M11" s="7"/>
      <c r="N11" s="7"/>
      <c r="O11" s="7"/>
      <c r="P11" s="7"/>
      <c r="Q11" s="7"/>
      <c r="R11" s="7"/>
      <c r="S11" s="7"/>
      <c r="T11" s="8"/>
    </row>
    <row r="12" spans="2:20" x14ac:dyDescent="0.25">
      <c r="B12" s="330"/>
      <c r="C12" s="332"/>
      <c r="D12" s="333"/>
      <c r="E12" s="331"/>
      <c r="F12" s="326"/>
      <c r="G12" s="325"/>
      <c r="H12" s="43" t="s">
        <v>262</v>
      </c>
      <c r="I12" s="40"/>
      <c r="J12" s="7"/>
      <c r="K12" s="7"/>
      <c r="L12" s="7"/>
      <c r="M12" s="7"/>
      <c r="N12" s="7"/>
      <c r="O12" s="7"/>
      <c r="P12" s="7"/>
      <c r="Q12" s="7"/>
      <c r="R12" s="7"/>
      <c r="S12" s="7"/>
      <c r="T12" s="8"/>
    </row>
    <row r="13" spans="2:20" x14ac:dyDescent="0.25">
      <c r="B13" s="330"/>
      <c r="C13" s="332"/>
      <c r="D13" s="333"/>
      <c r="E13" s="331"/>
      <c r="F13" s="326"/>
      <c r="G13" s="325"/>
      <c r="H13" s="43" t="s">
        <v>262</v>
      </c>
      <c r="I13" s="40"/>
      <c r="J13" s="7"/>
      <c r="K13" s="7"/>
      <c r="L13" s="7"/>
      <c r="M13" s="7"/>
      <c r="N13" s="7"/>
      <c r="O13" s="7"/>
      <c r="P13" s="7"/>
      <c r="Q13" s="7"/>
      <c r="R13" s="7"/>
      <c r="S13" s="7"/>
      <c r="T13" s="8"/>
    </row>
    <row r="14" spans="2:20" ht="15.75" thickBot="1" x14ac:dyDescent="0.3">
      <c r="B14" s="15"/>
      <c r="C14" s="16"/>
      <c r="D14" s="34"/>
      <c r="E14" s="33"/>
      <c r="F14" s="17"/>
      <c r="G14" s="38"/>
      <c r="H14" s="44" t="s">
        <v>262</v>
      </c>
      <c r="I14" s="41"/>
      <c r="J14" s="31"/>
      <c r="K14" s="31"/>
      <c r="L14" s="31"/>
      <c r="M14" s="31"/>
      <c r="N14" s="31"/>
      <c r="O14" s="31"/>
      <c r="P14" s="31"/>
      <c r="Q14" s="31"/>
      <c r="R14" s="31"/>
      <c r="S14" s="31"/>
      <c r="T14" s="32"/>
    </row>
    <row r="15" spans="2:20" ht="15.75" thickBot="1" x14ac:dyDescent="0.3">
      <c r="B15" s="320" t="s">
        <v>238</v>
      </c>
      <c r="C15" s="321"/>
      <c r="D15" s="322"/>
      <c r="E15" s="28">
        <f>SUM(E10:E14)</f>
        <v>0</v>
      </c>
      <c r="F15" s="46"/>
      <c r="G15" s="47"/>
      <c r="H15" s="48"/>
      <c r="I15" s="48"/>
      <c r="J15" s="48"/>
      <c r="K15" s="47"/>
      <c r="L15" s="48"/>
      <c r="M15" s="48"/>
      <c r="N15" s="48"/>
      <c r="O15" s="48"/>
      <c r="P15" s="48"/>
      <c r="Q15" s="48"/>
      <c r="R15" s="48"/>
      <c r="S15" s="48"/>
      <c r="T15" s="49"/>
    </row>
    <row r="16" spans="2:20" ht="15.75" thickBot="1" x14ac:dyDescent="0.3">
      <c r="B16" s="276" t="s">
        <v>239</v>
      </c>
      <c r="C16" s="277"/>
      <c r="D16" s="278"/>
      <c r="E16" s="9"/>
      <c r="F16" s="50"/>
      <c r="T16" s="51"/>
    </row>
    <row r="17" spans="2:20" ht="15.75" thickBot="1" x14ac:dyDescent="0.3">
      <c r="B17" s="276" t="s">
        <v>240</v>
      </c>
      <c r="C17" s="277"/>
      <c r="D17" s="278"/>
      <c r="E17" s="10">
        <f>+E16-E15</f>
        <v>0</v>
      </c>
      <c r="F17" s="52"/>
      <c r="G17" s="53"/>
      <c r="H17" s="54"/>
      <c r="I17" s="54"/>
      <c r="J17" s="54"/>
      <c r="K17" s="53"/>
      <c r="L17" s="54"/>
      <c r="M17" s="54"/>
      <c r="N17" s="54"/>
      <c r="O17" s="54"/>
      <c r="P17" s="54"/>
      <c r="Q17" s="54"/>
      <c r="R17" s="54"/>
      <c r="S17" s="54"/>
      <c r="T17" s="55"/>
    </row>
    <row r="18" spans="2:20" x14ac:dyDescent="0.25">
      <c r="B18" s="282" t="s">
        <v>241</v>
      </c>
      <c r="C18" s="283"/>
      <c r="D18" s="283"/>
      <c r="E18" s="283"/>
      <c r="F18" s="283"/>
      <c r="G18" s="283"/>
      <c r="H18" s="283"/>
      <c r="I18" s="283"/>
      <c r="J18" s="283"/>
      <c r="K18" s="283"/>
      <c r="L18" s="283"/>
      <c r="M18" s="283"/>
      <c r="N18" s="283"/>
      <c r="O18" s="283"/>
      <c r="P18" s="283"/>
      <c r="Q18" s="283"/>
      <c r="R18" s="283"/>
      <c r="S18" s="283"/>
      <c r="T18" s="284"/>
    </row>
    <row r="19" spans="2:20" x14ac:dyDescent="0.25">
      <c r="B19" s="285"/>
      <c r="C19" s="286"/>
      <c r="D19" s="286"/>
      <c r="E19" s="286"/>
      <c r="F19" s="286"/>
      <c r="G19" s="286"/>
      <c r="H19" s="286"/>
      <c r="I19" s="286"/>
      <c r="J19" s="286"/>
      <c r="K19" s="286"/>
      <c r="L19" s="286"/>
      <c r="M19" s="286"/>
      <c r="N19" s="286"/>
      <c r="O19" s="286"/>
      <c r="P19" s="286"/>
      <c r="Q19" s="286"/>
      <c r="R19" s="286"/>
      <c r="S19" s="286"/>
      <c r="T19" s="287"/>
    </row>
    <row r="20" spans="2:20" ht="15.75" thickBot="1" x14ac:dyDescent="0.3">
      <c r="B20" s="288"/>
      <c r="C20" s="289"/>
      <c r="D20" s="289"/>
      <c r="E20" s="289"/>
      <c r="F20" s="289"/>
      <c r="G20" s="289"/>
      <c r="H20" s="289"/>
      <c r="I20" s="289"/>
      <c r="J20" s="289"/>
      <c r="K20" s="289"/>
      <c r="L20" s="289"/>
      <c r="M20" s="289"/>
      <c r="N20" s="289"/>
      <c r="O20" s="289"/>
      <c r="P20" s="289"/>
      <c r="Q20" s="289"/>
      <c r="R20" s="289"/>
      <c r="S20" s="289"/>
      <c r="T20" s="290"/>
    </row>
    <row r="21" spans="2:20" x14ac:dyDescent="0.25">
      <c r="B21" s="12"/>
      <c r="C21" s="12"/>
      <c r="D21" s="12"/>
      <c r="E21" s="12"/>
    </row>
    <row r="22" spans="2:20" x14ac:dyDescent="0.25">
      <c r="B22" s="56" t="s">
        <v>242</v>
      </c>
    </row>
    <row r="23" spans="2:20" x14ac:dyDescent="0.25">
      <c r="K23" s="45"/>
      <c r="M23" s="2"/>
      <c r="N23" s="2"/>
    </row>
    <row r="24" spans="2:20" x14ac:dyDescent="0.25">
      <c r="K24" s="1"/>
      <c r="N24" s="2"/>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xr:uid="{00000000-0002-0000-0300-000000000000}">
      <formula1>"Aseguramiento,Consultoria"</formula1>
    </dataValidation>
    <dataValidation type="list" allowBlank="1" showInputMessage="1" showErrorMessage="1" sqref="H10:H14" xr:uid="{00000000-0002-0000-03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562142-BDBD-41C7-ACAD-CD77288687EA}">
  <ds:schemaRefs>
    <ds:schemaRef ds:uri="http://schemas.microsoft.com/office/2006/metadata/properties"/>
    <ds:schemaRef ds:uri="http://schemas.microsoft.com/office/infopath/2007/PartnerControls"/>
    <ds:schemaRef ds:uri="a8c18c6c-cefa-4b99-b050-d33e529ecf67"/>
    <ds:schemaRef ds:uri="dd6844ec-5394-4908-9fc7-2b61834fcc1b"/>
  </ds:schemaRefs>
</ds:datastoreItem>
</file>

<file path=customXml/itemProps2.xml><?xml version="1.0" encoding="utf-8"?>
<ds:datastoreItem xmlns:ds="http://schemas.openxmlformats.org/officeDocument/2006/customXml" ds:itemID="{9E1B8A79-24AD-48AD-BB95-1EF98E277D2A}">
  <ds:schemaRefs>
    <ds:schemaRef ds:uri="http://schemas.microsoft.com/sharepoint/v3/contenttype/forms"/>
  </ds:schemaRefs>
</ds:datastoreItem>
</file>

<file path=customXml/itemProps3.xml><?xml version="1.0" encoding="utf-8"?>
<ds:datastoreItem xmlns:ds="http://schemas.openxmlformats.org/officeDocument/2006/customXml" ds:itemID="{4C8BB997-06A1-4E63-B38C-C460E987A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Orientaciones Grales.</vt:lpstr>
      <vt:lpstr>Parámetros</vt:lpstr>
      <vt:lpstr>Priorización Procesos</vt:lpstr>
      <vt:lpstr>Priorización Proyectos</vt:lpstr>
      <vt:lpstr>Priorización Patrimonio Aut</vt:lpstr>
      <vt:lpstr>Priorización Tramites</vt:lpstr>
      <vt:lpstr>Priorización Final</vt:lpstr>
      <vt:lpstr>Procesos A Auditar Vs Recursos</vt:lpstr>
      <vt:lpstr>Seguimiento Programa Anual</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vector>
  </TitlesOfParts>
  <Manager/>
  <Company>Banco Popular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ARLEY GIRALDO ZAPATA</dc:creator>
  <cp:keywords/>
  <dc:description/>
  <cp:lastModifiedBy>Orietta Sofia Cotes Diaz - Pasante</cp:lastModifiedBy>
  <cp:revision/>
  <dcterms:created xsi:type="dcterms:W3CDTF">2014-03-13T13:58:02Z</dcterms:created>
  <dcterms:modified xsi:type="dcterms:W3CDTF">2026-05-26T15:15:55Z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